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CACLS\"/>
    </mc:Choice>
  </mc:AlternateContent>
  <xr:revisionPtr revIDLastSave="0" documentId="8_{CE112848-F60B-4DD6-B983-081996EFC091}" xr6:coauthVersionLast="36" xr6:coauthVersionMax="36" xr10:uidLastSave="{00000000-0000-0000-0000-000000000000}"/>
  <bookViews>
    <workbookView xWindow="0" yWindow="0" windowWidth="28800" windowHeight="12225" xr2:uid="{D604296F-339C-460E-9577-9D4DF593CAB9}"/>
  </bookViews>
  <sheets>
    <sheet name="Planilha1" sheetId="1" r:id="rId1"/>
    <sheet name="Planilha2" sheetId="2" state="hidden" r:id="rId2"/>
  </sheets>
  <definedNames>
    <definedName name="_xlnm.Print_Area" localSheetId="0">Planilha1!$B$1:$F$43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4" i="1"/>
  <c r="F35" i="1"/>
  <c r="F36" i="1"/>
  <c r="F37" i="1"/>
  <c r="F38" i="1"/>
  <c r="F32" i="1"/>
  <c r="F17" i="1" l="1"/>
  <c r="V3" i="2"/>
  <c r="E36" i="1"/>
  <c r="E33" i="1"/>
  <c r="T3" i="2" l="1"/>
  <c r="R3" i="2"/>
  <c r="R4" i="2" s="1"/>
  <c r="R5" i="2" l="1"/>
  <c r="S3" i="2" l="1"/>
  <c r="S5" i="2" l="1"/>
  <c r="E25" i="1" s="1"/>
  <c r="E24" i="1"/>
  <c r="T4" i="2"/>
  <c r="O3" i="2"/>
  <c r="O4" i="2"/>
  <c r="O5" i="2"/>
  <c r="O6" i="2"/>
  <c r="S6" i="2" s="1"/>
  <c r="O2" i="2"/>
  <c r="R6" i="2" s="1"/>
  <c r="R7" i="2" s="1"/>
  <c r="E26" i="1" l="1"/>
  <c r="S7" i="2"/>
  <c r="B13" i="1"/>
  <c r="T6" i="2"/>
  <c r="T5" i="2"/>
  <c r="V5" i="2" s="1"/>
  <c r="E18" i="1" s="1"/>
  <c r="T7" i="2" l="1"/>
  <c r="E14" i="1"/>
  <c r="V6" i="2"/>
  <c r="E13" i="1"/>
  <c r="U5" i="2"/>
  <c r="U6" i="2"/>
  <c r="B43" i="1"/>
  <c r="U7" i="2" l="1"/>
  <c r="V7" i="2"/>
  <c r="E19" i="1"/>
</calcChain>
</file>

<file path=xl/sharedStrings.xml><?xml version="1.0" encoding="utf-8"?>
<sst xmlns="http://schemas.openxmlformats.org/spreadsheetml/2006/main" count="89" uniqueCount="75">
  <si>
    <t>23.01</t>
  </si>
  <si>
    <t>Transporte rodoviário de produtos perigosos, exceto transporte interestadual e de material radioativo ou agrotóxicos</t>
  </si>
  <si>
    <t>23.02</t>
  </si>
  <si>
    <t>Transporte rodoviário de agrotóxicos e equivalentes, incluindo saneantes domissanitários, para aplicação no controle de pragas e vetores e para uso em desinsetização, fumigação e expurgo, exceto transporte interestadual e de material radioativo</t>
  </si>
  <si>
    <t>23.03</t>
  </si>
  <si>
    <t>Coleta e transporte rodoviário de resíduos perigosos, exceto transporte interestadual e de material radioativo e/ou óleo lubrificante usado e/ou contaminado (OLUC)</t>
  </si>
  <si>
    <t>23.04</t>
  </si>
  <si>
    <t>Coleta e transporte rodoviário de resíduos de serviços de saúde, exceto transporte interestadual e de material radioativo</t>
  </si>
  <si>
    <t>23.05</t>
  </si>
  <si>
    <t>Coleta e transporte rodoviário de óleo lubrificante usado e/ou contaminado (OLUC), exceto transporte interestadual</t>
  </si>
  <si>
    <t>23.06</t>
  </si>
  <si>
    <t>Coleta e transporte rodoviário de resíduos sólidos urbanos classificados como lixo domiciliar e equiparados</t>
  </si>
  <si>
    <t>23.07</t>
  </si>
  <si>
    <t>Coleta e transporte rodoviário de resíduos sólidos não perigosos oriundos da construção civil nos termos da Resolução Conama 307/2002</t>
  </si>
  <si>
    <t>23.08</t>
  </si>
  <si>
    <t>Coleta e transporte rodoviário de resíduos não perigosos (Classe II), exceto resíduos sólidos urbanos e oriundos da construção civil</t>
  </si>
  <si>
    <t>23.09</t>
  </si>
  <si>
    <t>Coleta e transporte rodoviário de líquidos e semi-sólidos provenientes de limpeza de redes de drenagem pluvial, de sanitários portáteis e de sistemas individuais de tratamento de esgoto  doméstico (limpa-fossa), exceto Classe I</t>
  </si>
  <si>
    <t>VRTE</t>
  </si>
  <si>
    <t>↓</t>
  </si>
  <si>
    <t>TAXAS**</t>
  </si>
  <si>
    <t>SIMULAÇÃO DE ENQUADRAMENTO</t>
  </si>
  <si>
    <t>Exclusivo para atividades de transporte Rodoviário de Cargas Perigosas e Resíduos</t>
  </si>
  <si>
    <t>* ENQUADRAMENTO  CONFORME IN Nº 15/2020 DO IEMA</t>
  </si>
  <si>
    <t>ASSINATURA</t>
  </si>
  <si>
    <t>LAU para Transporte de resíduos não perigosos</t>
  </si>
  <si>
    <t>LAU para Transporte de resíduos não perigosos  - regularização</t>
  </si>
  <si>
    <t>VALOR (R$)</t>
  </si>
  <si>
    <t>Adicional por placa licenciada***</t>
  </si>
  <si>
    <t>ENQ.</t>
  </si>
  <si>
    <t>ENQ. DESCRIÇÃO</t>
  </si>
  <si>
    <t>ENQ. LISTA</t>
  </si>
  <si>
    <t>ENQUADRAMENTO*</t>
  </si>
  <si>
    <t>Escolha o tipo de licença</t>
  </si>
  <si>
    <t>TIPO DE LICENÇA</t>
  </si>
  <si>
    <t>TOTAL</t>
  </si>
  <si>
    <t>REF</t>
  </si>
  <si>
    <t>CÁLCULO</t>
  </si>
  <si>
    <t>Valor enq.</t>
  </si>
  <si>
    <t>Adic. Veic.</t>
  </si>
  <si>
    <t>Tipo Lic.</t>
  </si>
  <si>
    <t>R$</t>
  </si>
  <si>
    <t>1- LAU</t>
  </si>
  <si>
    <t>TAXAS¹</t>
  </si>
  <si>
    <t>Adicional por placa licenciada²</t>
  </si>
  <si>
    <t>Valor do Adicional por placa licenciada²</t>
  </si>
  <si>
    <t>VRTE¹</t>
  </si>
  <si>
    <r>
      <t xml:space="preserve">↓ Escolha a atividade de enquadramento no campo a seguir </t>
    </r>
    <r>
      <rPr>
        <sz val="9"/>
        <color theme="1"/>
        <rFont val="Calibri"/>
        <family val="2"/>
      </rPr>
      <t>↓</t>
    </r>
  </si>
  <si>
    <t>LAU para Transporte de produtos ou resíduos perigosos</t>
  </si>
  <si>
    <t>LAU para Transporte de produtos ou resíduos perigosos - regularização</t>
  </si>
  <si>
    <t>Número Total de Veículos Transportadores por Placa</t>
  </si>
  <si>
    <t>Licença Ambiental Única para Transporte de produtos ou resíduos perigosos</t>
  </si>
  <si>
    <t>Licença Ambiental Única para Transporte de produtos ou resíduos perigosos - regularização</t>
  </si>
  <si>
    <t>Licença Ambiental Única para Transporte de resíduos não perigosos</t>
  </si>
  <si>
    <t>Licença Ambiental Única para Transporte de resíduos não perigosos  - regularização</t>
  </si>
  <si>
    <t>23.01 - Transporte rodoviário de produtos perigosos, exceto transporte interestadual e de material radioativo ou agrotóxicos</t>
  </si>
  <si>
    <t>23.02 - Transporte rodoviário de agrotóxicos e equivalentes, incluindo saneantes domissanitários, para aplicação no controle de pragas e vetores e para uso em desinsetização, fumigação e expurgo, exceto transporte interestadual e de material radioativo</t>
  </si>
  <si>
    <t>23.03 - Coleta e transporte rodoviário de resíduos perigosos, exceto transporte interestadual e de material radioativo e/ou óleo lubrificante usado e/ou contaminado (OLUC)</t>
  </si>
  <si>
    <t>23.04 - Coleta e transporte rodoviário de resíduos de serviços de saúde, exceto transporte interestadual e de material radioativo</t>
  </si>
  <si>
    <t>23.05 - Coleta e transporte rodoviário de óleo lubrificante usado e/ou contaminado (OLUC), exceto transporte interestadual</t>
  </si>
  <si>
    <t>23.06 - Coleta e transporte rodoviário de resíduos sólidos urbanos classificados como lixo domiciliar e equiparados</t>
  </si>
  <si>
    <t>23.07 - Coleta e transporte rodoviário de resíduos sólidos não perigosos oriundos da construção civil nos termos da Resolução Conama 307/2002</t>
  </si>
  <si>
    <t>23.08 - Coleta e transporte rodoviário de resíduos não perigosos (Classe II), exceto resíduos sólidos urbanos e oriundos da construção civil</t>
  </si>
  <si>
    <t>23.09 - Coleta e transporte rodoviário de líquidos e semi-sólidos provenientes de limpeza de redes de drenagem pluvial, de sanitários portáteis e de sistemas individuais de tratamento de esgoto  doméstico (limpa-fossa), exceto Classe I</t>
  </si>
  <si>
    <t>¹ VALORES DAS TAXAS EM VRTE CONFORME LEI ESTADUAL Nº 7001/2001
¹ VRTE (VALOR DE REFERENCIA DO TESOURO ESTADUAL). ANO DE 2026 = R$ 4,9383
² PAGO SOMENTE NOS CASOS SUPERIORES A 10 VEÍCULOS. MULTIPLICAR ESTE VALOR PELO NÚMERO DE VEÍCULOS QUE EXCEDEREM 10</t>
  </si>
  <si>
    <t>+ 20% para cada ano adicional (de 6 a 10 anos) - LAU produtos e resíduos perigosos</t>
  </si>
  <si>
    <t>+ 20% para cada ano adicional (de 6 a 10 anos) - resíduos não perigosos</t>
  </si>
  <si>
    <t>2- LAU Regularização</t>
  </si>
  <si>
    <t>VRTE 2026</t>
  </si>
  <si>
    <t>5 +</t>
  </si>
  <si>
    <t>Valor do adicional da validade</t>
  </si>
  <si>
    <t>Ano(s) adicional(ais)**</t>
  </si>
  <si>
    <t>*** COBRADO QUANDO EXCEDER 10 VEÍCULOS</t>
  </si>
  <si>
    <t>Número de Veículos Taxados com o "adicional por placa licenciada" ***</t>
  </si>
  <si>
    <t>** VALIDADE MÍNIMA DE 5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</si>
</sst>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/>
    <xf numFmtId="0" fontId="0" fillId="0" borderId="4" xfId="0" applyBorder="1"/>
    <xf numFmtId="0" fontId="0" fillId="0" borderId="10" xfId="0" applyBorder="1"/>
    <xf numFmtId="0" fontId="0" fillId="0" borderId="9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13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1" xfId="0" applyFont="1" applyBorder="1" applyAlignment="1" applyProtection="1">
      <alignment horizontal="center"/>
      <protection hidden="1"/>
    </xf>
    <xf numFmtId="2" fontId="0" fillId="0" borderId="1" xfId="0" applyNumberFormat="1" applyFont="1" applyBorder="1" applyAlignment="1" applyProtection="1">
      <alignment horizontal="center"/>
      <protection hidden="1"/>
    </xf>
    <xf numFmtId="1" fontId="0" fillId="0" borderId="1" xfId="0" applyNumberFormat="1" applyFont="1" applyBorder="1" applyAlignment="1" applyProtection="1">
      <alignment horizontal="center"/>
      <protection hidden="1"/>
    </xf>
    <xf numFmtId="164" fontId="0" fillId="0" borderId="0" xfId="0" applyNumberFormat="1" applyAlignment="1" applyProtection="1">
      <protection hidden="1"/>
    </xf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5" fillId="2" borderId="0" xfId="0" applyFont="1" applyFill="1" applyBorder="1" applyAlignment="1" applyProtection="1">
      <alignment horizontal="left" vertical="center"/>
      <protection hidden="1"/>
    </xf>
    <xf numFmtId="0" fontId="0" fillId="0" borderId="8" xfId="0" applyFont="1" applyBorder="1" applyAlignment="1" applyProtection="1">
      <alignment horizontal="center" vertical="center"/>
      <protection hidden="1"/>
    </xf>
    <xf numFmtId="2" fontId="0" fillId="0" borderId="8" xfId="0" applyNumberFormat="1" applyFont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12" xfId="0" applyFont="1" applyBorder="1" applyAlignment="1" applyProtection="1">
      <alignment horizontal="center" vertical="center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8" xfId="0" applyFont="1" applyBorder="1" applyAlignment="1" applyProtection="1">
      <alignment horizontal="left" vertical="center"/>
      <protection hidden="1"/>
    </xf>
    <xf numFmtId="0" fontId="0" fillId="0" borderId="8" xfId="0" applyFont="1" applyBorder="1" applyAlignment="1" applyProtection="1">
      <alignment horizontal="left" vertical="center" wrapText="1"/>
      <protection hidden="1"/>
    </xf>
    <xf numFmtId="0" fontId="0" fillId="0" borderId="0" xfId="0" applyFont="1" applyBorder="1" applyAlignment="1" applyProtection="1">
      <alignment horizontal="left" vertical="center" wrapText="1"/>
      <protection hidden="1"/>
    </xf>
    <xf numFmtId="0" fontId="0" fillId="0" borderId="0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right" vertical="center"/>
      <protection hidden="1"/>
    </xf>
    <xf numFmtId="1" fontId="2" fillId="0" borderId="1" xfId="0" applyNumberFormat="1" applyFont="1" applyBorder="1" applyAlignment="1" applyProtection="1">
      <alignment horizontal="center"/>
      <protection hidden="1"/>
    </xf>
    <xf numFmtId="2" fontId="2" fillId="0" borderId="1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9" fontId="0" fillId="0" borderId="3" xfId="0" applyNumberFormat="1" applyBorder="1"/>
    <xf numFmtId="9" fontId="0" fillId="0" borderId="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center"/>
      <protection hidden="1"/>
    </xf>
    <xf numFmtId="0" fontId="2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Font="1" applyBorder="1" applyAlignment="1" applyProtection="1">
      <alignment vertical="center" wrapText="1"/>
      <protection hidden="1"/>
    </xf>
    <xf numFmtId="0" fontId="9" fillId="3" borderId="16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0" fillId="0" borderId="10" xfId="0" applyFont="1" applyBorder="1" applyAlignment="1" applyProtection="1">
      <alignment horizontal="left" vertical="center"/>
      <protection hidden="1"/>
    </xf>
    <xf numFmtId="0" fontId="0" fillId="0" borderId="8" xfId="0" applyFont="1" applyBorder="1" applyAlignment="1" applyProtection="1">
      <alignment horizontal="left" vertical="center"/>
      <protection hidden="1"/>
    </xf>
    <xf numFmtId="0" fontId="0" fillId="0" borderId="6" xfId="0" applyFont="1" applyBorder="1" applyAlignment="1" applyProtection="1">
      <alignment horizontal="left" vertical="center"/>
      <protection hidden="1"/>
    </xf>
    <xf numFmtId="0" fontId="0" fillId="0" borderId="5" xfId="0" applyFont="1" applyBorder="1" applyAlignment="1" applyProtection="1">
      <alignment horizontal="left" vertical="center"/>
      <protection hidden="1"/>
    </xf>
    <xf numFmtId="0" fontId="0" fillId="0" borderId="10" xfId="0" applyFont="1" applyBorder="1" applyAlignment="1" applyProtection="1">
      <alignment horizontal="left" vertical="center" wrapText="1"/>
      <protection hidden="1"/>
    </xf>
    <xf numFmtId="0" fontId="0" fillId="0" borderId="8" xfId="0" applyFont="1" applyBorder="1" applyAlignment="1" applyProtection="1">
      <alignment horizontal="left" vertical="center" wrapText="1"/>
      <protection hidden="1"/>
    </xf>
    <xf numFmtId="0" fontId="0" fillId="0" borderId="6" xfId="0" applyFont="1" applyBorder="1" applyAlignment="1" applyProtection="1">
      <alignment horizontal="left" vertical="center" wrapText="1"/>
      <protection hidden="1"/>
    </xf>
    <xf numFmtId="0" fontId="0" fillId="0" borderId="5" xfId="0" applyFont="1" applyBorder="1" applyAlignment="1" applyProtection="1">
      <alignment horizontal="left" vertical="center" wrapText="1"/>
      <protection hidden="1"/>
    </xf>
    <xf numFmtId="1" fontId="0" fillId="0" borderId="14" xfId="0" applyNumberFormat="1" applyFont="1" applyBorder="1" applyAlignment="1" applyProtection="1">
      <alignment horizontal="center" vertical="center"/>
      <protection hidden="1"/>
    </xf>
    <xf numFmtId="0" fontId="0" fillId="0" borderId="14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left" vertical="center"/>
      <protection hidden="1"/>
    </xf>
    <xf numFmtId="0" fontId="1" fillId="0" borderId="13" xfId="0" applyFont="1" applyBorder="1" applyAlignment="1" applyProtection="1">
      <alignment horizontal="left" vertical="center"/>
      <protection hidden="1"/>
    </xf>
    <xf numFmtId="164" fontId="0" fillId="0" borderId="0" xfId="0" applyNumberFormat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11" xfId="0" applyFont="1" applyBorder="1" applyAlignment="1" applyProtection="1">
      <alignment horizontal="left" indent="1"/>
      <protection hidden="1"/>
    </xf>
    <xf numFmtId="0" fontId="0" fillId="0" borderId="13" xfId="0" applyFont="1" applyBorder="1" applyAlignment="1" applyProtection="1">
      <alignment horizontal="left" indent="1"/>
      <protection hidden="1"/>
    </xf>
    <xf numFmtId="0" fontId="0" fillId="0" borderId="7" xfId="0" applyFont="1" applyBorder="1" applyAlignment="1" applyProtection="1">
      <alignment horizontal="left" indent="1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 indent="1"/>
      <protection hidden="1"/>
    </xf>
    <xf numFmtId="49" fontId="2" fillId="0" borderId="1" xfId="0" applyNumberFormat="1" applyFont="1" applyBorder="1" applyAlignment="1" applyProtection="1">
      <alignment horizontal="left" indent="2"/>
      <protection hidden="1"/>
    </xf>
    <xf numFmtId="0" fontId="4" fillId="0" borderId="11" xfId="0" applyFont="1" applyBorder="1" applyAlignment="1" applyProtection="1">
      <alignment horizontal="left" vertical="center" wrapText="1"/>
      <protection hidden="1"/>
    </xf>
    <xf numFmtId="0" fontId="4" fillId="0" borderId="13" xfId="0" applyFont="1" applyBorder="1" applyAlignment="1" applyProtection="1">
      <alignment horizontal="left" vertical="center" wrapText="1"/>
      <protection hidden="1"/>
    </xf>
    <xf numFmtId="0" fontId="4" fillId="0" borderId="7" xfId="0" applyFont="1" applyBorder="1" applyAlignment="1" applyProtection="1">
      <alignment horizontal="left" vertical="center" wrapText="1"/>
      <protection hidden="1"/>
    </xf>
    <xf numFmtId="49" fontId="2" fillId="0" borderId="11" xfId="0" applyNumberFormat="1" applyFont="1" applyBorder="1" applyAlignment="1" applyProtection="1">
      <alignment horizontal="left" indent="2"/>
      <protection hidden="1"/>
    </xf>
    <xf numFmtId="49" fontId="2" fillId="0" borderId="13" xfId="0" applyNumberFormat="1" applyFont="1" applyBorder="1" applyAlignment="1" applyProtection="1">
      <alignment horizontal="left" indent="2"/>
      <protection hidden="1"/>
    </xf>
    <xf numFmtId="49" fontId="2" fillId="0" borderId="7" xfId="0" applyNumberFormat="1" applyFont="1" applyBorder="1" applyAlignment="1" applyProtection="1">
      <alignment horizontal="left" indent="2"/>
      <protection hidden="1"/>
    </xf>
    <xf numFmtId="0" fontId="1" fillId="0" borderId="12" xfId="0" applyFont="1" applyBorder="1" applyAlignment="1" applyProtection="1">
      <alignment horizontal="center" vertical="center"/>
      <protection locked="0" hidden="1"/>
    </xf>
    <xf numFmtId="0" fontId="1" fillId="0" borderId="16" xfId="0" applyFont="1" applyBorder="1" applyAlignment="1" applyProtection="1">
      <alignment horizontal="center" vertical="center"/>
      <protection locked="0" hidden="1"/>
    </xf>
    <xf numFmtId="2" fontId="0" fillId="0" borderId="1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6" fillId="0" borderId="17" xfId="0" applyFont="1" applyBorder="1" applyAlignment="1" applyProtection="1">
      <alignment horizontal="left" vertical="center" wrapText="1"/>
      <protection locked="0" hidden="1"/>
    </xf>
    <xf numFmtId="0" fontId="6" fillId="0" borderId="15" xfId="0" applyFont="1" applyBorder="1" applyAlignment="1" applyProtection="1">
      <alignment horizontal="left" vertical="center" wrapText="1"/>
      <protection locked="0" hidden="1"/>
    </xf>
    <xf numFmtId="0" fontId="6" fillId="0" borderId="16" xfId="0" applyFont="1" applyBorder="1" applyAlignment="1" applyProtection="1">
      <alignment horizontal="left" vertical="center" wrapText="1"/>
      <protection locked="0"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0" borderId="9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2" fillId="0" borderId="24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6D8C-91D6-4072-8AF4-C881A53F4FB0}">
  <sheetPr>
    <pageSetUpPr fitToPage="1"/>
  </sheetPr>
  <dimension ref="B1:G44"/>
  <sheetViews>
    <sheetView showGridLines="0" tabSelected="1" topLeftCell="A10" zoomScaleNormal="100" workbookViewId="0">
      <selection activeCell="H7" sqref="H7"/>
    </sheetView>
  </sheetViews>
  <sheetFormatPr defaultRowHeight="15" x14ac:dyDescent="0.25"/>
  <cols>
    <col min="1" max="1" width="3.85546875" customWidth="1"/>
    <col min="2" max="2" width="19.5703125" customWidth="1"/>
    <col min="3" max="3" width="43.28515625" customWidth="1"/>
    <col min="4" max="4" width="15.7109375" customWidth="1"/>
    <col min="5" max="5" width="9.42578125" customWidth="1"/>
    <col min="6" max="6" width="11.28515625" customWidth="1"/>
  </cols>
  <sheetData>
    <row r="1" spans="2:7" ht="15.75" x14ac:dyDescent="0.25">
      <c r="B1" s="106" t="s">
        <v>21</v>
      </c>
      <c r="C1" s="106"/>
      <c r="D1" s="106"/>
      <c r="E1" s="106"/>
      <c r="F1" s="106"/>
    </row>
    <row r="2" spans="2:7" x14ac:dyDescent="0.25">
      <c r="B2" s="107" t="s">
        <v>22</v>
      </c>
      <c r="C2" s="107"/>
      <c r="D2" s="107"/>
      <c r="E2" s="107"/>
      <c r="F2" s="107"/>
    </row>
    <row r="3" spans="2:7" ht="13.5" customHeight="1" x14ac:dyDescent="0.25">
      <c r="B3" s="46"/>
      <c r="C3" s="46"/>
      <c r="D3" s="46"/>
      <c r="E3" s="46"/>
      <c r="F3" s="46"/>
    </row>
    <row r="4" spans="2:7" ht="7.5" customHeight="1" x14ac:dyDescent="0.25">
      <c r="B4" s="47"/>
      <c r="C4" s="47"/>
      <c r="D4" s="47"/>
      <c r="E4" s="47"/>
      <c r="F4" s="47"/>
    </row>
    <row r="5" spans="2:7" ht="13.5" customHeight="1" x14ac:dyDescent="0.25">
      <c r="B5" s="36"/>
      <c r="C5" s="36"/>
      <c r="D5" s="36"/>
      <c r="E5" s="36"/>
      <c r="F5" s="36"/>
    </row>
    <row r="6" spans="2:7" x14ac:dyDescent="0.25">
      <c r="B6" s="111" t="s">
        <v>32</v>
      </c>
      <c r="C6" s="112"/>
      <c r="D6" s="112"/>
      <c r="E6" s="112"/>
      <c r="F6" s="113"/>
      <c r="G6" s="2"/>
    </row>
    <row r="7" spans="2:7" ht="15.75" thickBot="1" x14ac:dyDescent="0.3">
      <c r="B7" s="114" t="s">
        <v>47</v>
      </c>
      <c r="C7" s="115"/>
      <c r="D7" s="115"/>
      <c r="E7" s="115"/>
      <c r="F7" s="116"/>
      <c r="G7" s="2"/>
    </row>
    <row r="8" spans="2:7" ht="75" customHeight="1" thickBot="1" x14ac:dyDescent="0.3">
      <c r="B8" s="108"/>
      <c r="C8" s="109"/>
      <c r="D8" s="109"/>
      <c r="E8" s="109"/>
      <c r="F8" s="110"/>
      <c r="G8" s="2"/>
    </row>
    <row r="9" spans="2:7" ht="13.5" customHeight="1" x14ac:dyDescent="0.25">
      <c r="B9" s="89" t="s">
        <v>23</v>
      </c>
      <c r="C9" s="89"/>
      <c r="D9" s="89"/>
      <c r="E9" s="89"/>
      <c r="F9" s="89"/>
    </row>
    <row r="10" spans="2:7" ht="13.5" customHeight="1" x14ac:dyDescent="0.25">
      <c r="B10" s="38"/>
      <c r="C10" s="38"/>
      <c r="D10" s="38"/>
      <c r="E10" s="38"/>
      <c r="F10" s="38"/>
    </row>
    <row r="11" spans="2:7" ht="15" customHeight="1" thickBot="1" x14ac:dyDescent="0.3">
      <c r="B11" s="39"/>
      <c r="C11" s="39"/>
      <c r="D11" s="40"/>
      <c r="E11" s="88" t="s">
        <v>19</v>
      </c>
      <c r="F11" s="88"/>
    </row>
    <row r="12" spans="2:7" ht="22.5" customHeight="1" thickBot="1" x14ac:dyDescent="0.3">
      <c r="B12" s="85" t="s">
        <v>33</v>
      </c>
      <c r="C12" s="86"/>
      <c r="D12" s="86"/>
      <c r="E12" s="103" t="s">
        <v>42</v>
      </c>
      <c r="F12" s="104"/>
    </row>
    <row r="13" spans="2:7" ht="22.5" customHeight="1" x14ac:dyDescent="0.25">
      <c r="B13" s="79" t="str">
        <f>_xlfn.IFNA(VLOOKUP(Planilha2!T4,Planilha2!L2:O5,2),"")</f>
        <v/>
      </c>
      <c r="C13" s="80"/>
      <c r="D13" s="30" t="s">
        <v>18</v>
      </c>
      <c r="E13" s="83">
        <f>_xlfn.IFNA(Planilha2!T5, 0)</f>
        <v>0</v>
      </c>
      <c r="F13" s="83"/>
    </row>
    <row r="14" spans="2:7" ht="22.5" customHeight="1" x14ac:dyDescent="0.25">
      <c r="B14" s="81"/>
      <c r="C14" s="82"/>
      <c r="D14" s="30" t="s">
        <v>41</v>
      </c>
      <c r="E14" s="105">
        <f>_xlfn.IFNA(Planilha2!T6, 0)</f>
        <v>0</v>
      </c>
      <c r="F14" s="118"/>
    </row>
    <row r="15" spans="2:7" x14ac:dyDescent="0.25">
      <c r="B15" s="53"/>
      <c r="C15" s="53"/>
      <c r="D15" s="44"/>
      <c r="E15" s="45"/>
      <c r="F15" s="44"/>
    </row>
    <row r="16" spans="2:7" ht="13.5" customHeight="1" thickBot="1" x14ac:dyDescent="0.3">
      <c r="B16" s="54"/>
      <c r="C16" s="54"/>
      <c r="D16" s="55"/>
      <c r="E16" s="51" t="s">
        <v>19</v>
      </c>
      <c r="F16" s="69"/>
    </row>
    <row r="17" spans="2:6" ht="13.5" customHeight="1" thickBot="1" x14ac:dyDescent="0.3">
      <c r="B17" s="85" t="s">
        <v>71</v>
      </c>
      <c r="C17" s="86"/>
      <c r="D17" s="56" t="s">
        <v>69</v>
      </c>
      <c r="E17" s="50"/>
      <c r="F17" s="71" t="str">
        <f>_xlfn.TEXTJOIN(" ",TRUE,"(",SUM(5+E17),"anos", ")")</f>
        <v>( 5 anos )</v>
      </c>
    </row>
    <row r="18" spans="2:6" ht="13.5" customHeight="1" x14ac:dyDescent="0.25">
      <c r="B18" s="75" t="s">
        <v>70</v>
      </c>
      <c r="C18" s="76"/>
      <c r="D18" s="30" t="s">
        <v>18</v>
      </c>
      <c r="E18" s="84">
        <f>_xlfn.IFNA(Planilha2!V5, 0)</f>
        <v>0</v>
      </c>
      <c r="F18" s="84"/>
    </row>
    <row r="19" spans="2:6" ht="13.5" customHeight="1" x14ac:dyDescent="0.25">
      <c r="B19" s="77"/>
      <c r="C19" s="78"/>
      <c r="D19" s="30" t="s">
        <v>41</v>
      </c>
      <c r="E19" s="105">
        <f>_xlfn.IFNA(Planilha2!V6, 0)</f>
        <v>0</v>
      </c>
      <c r="F19" s="105"/>
    </row>
    <row r="20" spans="2:6" ht="13.5" customHeight="1" x14ac:dyDescent="0.25">
      <c r="B20" s="68" t="s">
        <v>74</v>
      </c>
      <c r="C20" s="52"/>
      <c r="D20" s="44"/>
      <c r="E20" s="45"/>
      <c r="F20" s="45"/>
    </row>
    <row r="21" spans="2:6" ht="13.5" customHeight="1" x14ac:dyDescent="0.25">
      <c r="B21" s="70"/>
      <c r="C21" s="70"/>
      <c r="D21" s="70"/>
      <c r="E21" s="70"/>
      <c r="F21" s="70"/>
    </row>
    <row r="22" spans="2:6" ht="13.5" customHeight="1" thickBot="1" x14ac:dyDescent="0.3">
      <c r="B22" s="39"/>
      <c r="C22" s="39"/>
      <c r="D22" s="40"/>
      <c r="E22" s="117" t="s">
        <v>19</v>
      </c>
      <c r="F22" s="117"/>
    </row>
    <row r="23" spans="2:6" ht="13.5" customHeight="1" thickBot="1" x14ac:dyDescent="0.3">
      <c r="B23" s="85" t="s">
        <v>50</v>
      </c>
      <c r="C23" s="86"/>
      <c r="D23" s="86"/>
      <c r="E23" s="103"/>
      <c r="F23" s="104"/>
    </row>
    <row r="24" spans="2:6" ht="22.5" customHeight="1" thickBot="1" x14ac:dyDescent="0.3">
      <c r="B24" s="85" t="s">
        <v>73</v>
      </c>
      <c r="C24" s="86"/>
      <c r="D24" s="86"/>
      <c r="E24" s="73">
        <f>Planilha2!S3</f>
        <v>0</v>
      </c>
      <c r="F24" s="74"/>
    </row>
    <row r="25" spans="2:6" ht="22.5" customHeight="1" x14ac:dyDescent="0.25">
      <c r="B25" s="75" t="s">
        <v>45</v>
      </c>
      <c r="C25" s="76"/>
      <c r="D25" s="30" t="s">
        <v>18</v>
      </c>
      <c r="E25" s="84">
        <f>Planilha2!S5</f>
        <v>0</v>
      </c>
      <c r="F25" s="84"/>
    </row>
    <row r="26" spans="2:6" ht="22.5" customHeight="1" x14ac:dyDescent="0.25">
      <c r="B26" s="77"/>
      <c r="C26" s="78"/>
      <c r="D26" s="30" t="s">
        <v>41</v>
      </c>
      <c r="E26" s="105">
        <f>Planilha2!S6</f>
        <v>0</v>
      </c>
      <c r="F26" s="105"/>
    </row>
    <row r="27" spans="2:6" x14ac:dyDescent="0.25">
      <c r="B27" s="72" t="s">
        <v>72</v>
      </c>
      <c r="C27" s="72"/>
      <c r="D27" s="72"/>
      <c r="E27" s="72"/>
      <c r="F27" s="72"/>
    </row>
    <row r="28" spans="2:6" ht="13.5" customHeight="1" x14ac:dyDescent="0.25">
      <c r="B28" s="38"/>
      <c r="C28" s="38"/>
      <c r="D28" s="38"/>
      <c r="E28" s="38"/>
      <c r="F28" s="38"/>
    </row>
    <row r="29" spans="2:6" ht="13.5" customHeight="1" x14ac:dyDescent="0.25">
      <c r="B29" s="43"/>
      <c r="C29" s="43"/>
      <c r="D29" s="43"/>
      <c r="E29" s="43"/>
      <c r="F29" s="43"/>
    </row>
    <row r="30" spans="2:6" ht="7.5" customHeight="1" x14ac:dyDescent="0.25">
      <c r="B30" s="38"/>
      <c r="C30" s="38"/>
      <c r="D30" s="38"/>
      <c r="E30" s="38"/>
      <c r="F30" s="38"/>
    </row>
    <row r="31" spans="2:6" ht="13.5" customHeight="1" x14ac:dyDescent="0.25">
      <c r="B31" s="90" t="s">
        <v>43</v>
      </c>
      <c r="C31" s="90"/>
      <c r="D31" s="90"/>
      <c r="E31" s="37" t="s">
        <v>46</v>
      </c>
      <c r="F31" s="37" t="s">
        <v>27</v>
      </c>
    </row>
    <row r="32" spans="2:6" ht="22.5" customHeight="1" x14ac:dyDescent="0.25">
      <c r="B32" s="91" t="s">
        <v>48</v>
      </c>
      <c r="C32" s="92"/>
      <c r="D32" s="93"/>
      <c r="E32" s="32">
        <v>321</v>
      </c>
      <c r="F32" s="33">
        <f>E32*Planilha2!$O$7</f>
        <v>1585.1942999999999</v>
      </c>
    </row>
    <row r="33" spans="2:6" ht="15" customHeight="1" x14ac:dyDescent="0.25">
      <c r="B33" s="100" t="s">
        <v>65</v>
      </c>
      <c r="C33" s="101"/>
      <c r="D33" s="102"/>
      <c r="E33" s="59">
        <f>E32*0.2</f>
        <v>64.2</v>
      </c>
      <c r="F33" s="58">
        <f>E33*Planilha2!$O$7</f>
        <v>317.03886</v>
      </c>
    </row>
    <row r="34" spans="2:6" x14ac:dyDescent="0.25">
      <c r="B34" s="91" t="s">
        <v>49</v>
      </c>
      <c r="C34" s="92"/>
      <c r="D34" s="93"/>
      <c r="E34" s="32">
        <v>482</v>
      </c>
      <c r="F34" s="33">
        <f>E34*Planilha2!$O$7</f>
        <v>2380.2606000000001</v>
      </c>
    </row>
    <row r="35" spans="2:6" x14ac:dyDescent="0.25">
      <c r="B35" s="91" t="s">
        <v>25</v>
      </c>
      <c r="C35" s="92"/>
      <c r="D35" s="93"/>
      <c r="E35" s="32">
        <v>230</v>
      </c>
      <c r="F35" s="33">
        <f>E35*Planilha2!$O$7</f>
        <v>1135.809</v>
      </c>
    </row>
    <row r="36" spans="2:6" x14ac:dyDescent="0.25">
      <c r="B36" s="96" t="s">
        <v>66</v>
      </c>
      <c r="C36" s="96"/>
      <c r="D36" s="96"/>
      <c r="E36" s="57">
        <f>E35*0.2</f>
        <v>46</v>
      </c>
      <c r="F36" s="58">
        <f>E36*Planilha2!$O$7</f>
        <v>227.1618</v>
      </c>
    </row>
    <row r="37" spans="2:6" x14ac:dyDescent="0.25">
      <c r="B37" s="95" t="s">
        <v>26</v>
      </c>
      <c r="C37" s="95"/>
      <c r="D37" s="95"/>
      <c r="E37" s="34">
        <v>345</v>
      </c>
      <c r="F37" s="33">
        <f>E37*Planilha2!$O$7</f>
        <v>1703.7135000000001</v>
      </c>
    </row>
    <row r="38" spans="2:6" x14ac:dyDescent="0.25">
      <c r="B38" s="95" t="s">
        <v>44</v>
      </c>
      <c r="C38" s="95"/>
      <c r="D38" s="95"/>
      <c r="E38" s="34">
        <v>5</v>
      </c>
      <c r="F38" s="33">
        <f>E38*Planilha2!$O$7</f>
        <v>24.691499999999998</v>
      </c>
    </row>
    <row r="39" spans="2:6" ht="21.75" customHeight="1" x14ac:dyDescent="0.25">
      <c r="B39" s="97" t="s">
        <v>64</v>
      </c>
      <c r="C39" s="98"/>
      <c r="D39" s="98"/>
      <c r="E39" s="98"/>
      <c r="F39" s="99"/>
    </row>
    <row r="40" spans="2:6" x14ac:dyDescent="0.25">
      <c r="B40" s="41"/>
      <c r="C40" s="41"/>
      <c r="D40" s="41"/>
      <c r="E40" s="41"/>
      <c r="F40" s="41"/>
    </row>
    <row r="41" spans="2:6" x14ac:dyDescent="0.25">
      <c r="B41" s="42"/>
      <c r="C41" s="42"/>
      <c r="D41" s="42"/>
      <c r="E41" s="42"/>
      <c r="F41" s="42"/>
    </row>
    <row r="42" spans="2:6" ht="18.75" customHeight="1" x14ac:dyDescent="0.25">
      <c r="B42" s="31"/>
      <c r="C42" s="35"/>
      <c r="D42" s="35"/>
      <c r="E42" s="35"/>
      <c r="F42" s="35"/>
    </row>
    <row r="43" spans="2:6" ht="23.25" customHeight="1" x14ac:dyDescent="0.25">
      <c r="B43" s="87">
        <f ca="1">TODAY()</f>
        <v>46274</v>
      </c>
      <c r="C43" s="87"/>
      <c r="D43" s="87"/>
      <c r="E43" s="94" t="s">
        <v>24</v>
      </c>
      <c r="F43" s="94"/>
    </row>
    <row r="44" spans="2:6" ht="20.25" customHeight="1" x14ac:dyDescent="0.25"/>
  </sheetData>
  <sheetProtection algorithmName="SHA-512" hashValue="rkvuTciu8uecfA5hIsS/EBiQJcmbJKLPc8F49zAwt416dZ9HNdebukXTJdvhInosPDehrDR+ZwboywE8aLUXrQ==" saltValue="jbGoKsdCB+XmEIBgSi5FdA==" spinCount="100000" sheet="1" objects="1" scenarios="1"/>
  <mergeCells count="36">
    <mergeCell ref="B1:F1"/>
    <mergeCell ref="B2:F2"/>
    <mergeCell ref="B23:D23"/>
    <mergeCell ref="E23:F23"/>
    <mergeCell ref="B8:F8"/>
    <mergeCell ref="B6:F6"/>
    <mergeCell ref="B7:F7"/>
    <mergeCell ref="E22:F22"/>
    <mergeCell ref="E14:F14"/>
    <mergeCell ref="B18:C19"/>
    <mergeCell ref="E18:F18"/>
    <mergeCell ref="E19:F19"/>
    <mergeCell ref="B43:D43"/>
    <mergeCell ref="E11:F11"/>
    <mergeCell ref="B9:F9"/>
    <mergeCell ref="B31:D31"/>
    <mergeCell ref="B35:D35"/>
    <mergeCell ref="E43:F43"/>
    <mergeCell ref="B38:D38"/>
    <mergeCell ref="B37:D37"/>
    <mergeCell ref="B36:D36"/>
    <mergeCell ref="B39:F39"/>
    <mergeCell ref="B32:D32"/>
    <mergeCell ref="B33:D33"/>
    <mergeCell ref="B34:D34"/>
    <mergeCell ref="B12:D12"/>
    <mergeCell ref="E12:F12"/>
    <mergeCell ref="E26:F26"/>
    <mergeCell ref="B27:F27"/>
    <mergeCell ref="E24:F24"/>
    <mergeCell ref="B25:C26"/>
    <mergeCell ref="B13:C14"/>
    <mergeCell ref="E13:F13"/>
    <mergeCell ref="E25:F25"/>
    <mergeCell ref="B24:D24"/>
    <mergeCell ref="B17:C17"/>
  </mergeCells>
  <dataValidations count="2">
    <dataValidation type="list" allowBlank="1" showInputMessage="1" showErrorMessage="1" sqref="C22 C11" xr:uid="{69348DCB-CF20-4CE6-8ABD-0D4A1F250222}">
      <formula1>#REF!</formula1>
    </dataValidation>
    <dataValidation type="whole" allowBlank="1" showInputMessage="1" showErrorMessage="1" sqref="E17" xr:uid="{BBFF46D5-A2CD-42B9-BE82-7B6136E17DD0}">
      <formula1>0</formula1>
      <formula2>5</formula2>
    </dataValidation>
  </dataValidations>
  <printOptions horizontalCentered="1" verticalCentered="1"/>
  <pageMargins left="0.78740157480314965" right="0.78740157480314965" top="1.1811023622047245" bottom="0.78740157480314965" header="0.59055118110236227" footer="0.31496062992125984"/>
  <pageSetup paperSize="9" scale="85" fitToHeight="0" orientation="portrait" r:id="rId1"/>
  <headerFooter>
    <oddHeader>&amp;C&amp;G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95EBD4B0-6C18-4DB8-9AA2-D65919DF13C5}">
          <x14:formula1>
            <xm:f>Planilha2!$F$2:$F$10</xm:f>
          </x14:formula1>
          <xm:sqref>B8:F8</xm:sqref>
        </x14:dataValidation>
        <x14:dataValidation type="list" allowBlank="1" showInputMessage="1" showErrorMessage="1" xr:uid="{8163D056-7CF7-48F8-8D8A-EE225C9AA69A}">
          <x14:formula1>
            <xm:f>Planilha2!$I$2:$I$3</xm:f>
          </x14:formula1>
          <xm:sqref>E12:F12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CEFF-89EA-40FE-AFEA-7ED6A14C18B3}">
  <dimension ref="B1:V12"/>
  <sheetViews>
    <sheetView topLeftCell="H1" workbookViewId="0">
      <selection activeCell="P9" sqref="P9"/>
    </sheetView>
  </sheetViews>
  <sheetFormatPr defaultRowHeight="15" x14ac:dyDescent="0.25"/>
  <cols>
    <col min="3" max="3" width="75.5703125" customWidth="1"/>
    <col min="4" max="4" width="5.42578125" bestFit="1" customWidth="1"/>
    <col min="5" max="5" width="11" bestFit="1" customWidth="1"/>
    <col min="6" max="6" width="71.7109375" customWidth="1"/>
    <col min="7" max="7" width="5.7109375" customWidth="1"/>
    <col min="8" max="8" width="5" customWidth="1"/>
    <col min="9" max="9" width="17.28515625" bestFit="1" customWidth="1"/>
    <col min="10" max="12" width="5.140625" customWidth="1"/>
    <col min="13" max="13" width="39.140625" customWidth="1"/>
    <col min="14" max="14" width="5.42578125" bestFit="1" customWidth="1"/>
    <col min="15" max="16" width="11" bestFit="1" customWidth="1"/>
    <col min="17" max="17" width="9.140625" customWidth="1"/>
    <col min="18" max="18" width="13.28515625" customWidth="1"/>
    <col min="19" max="21" width="12.42578125" bestFit="1" customWidth="1"/>
    <col min="22" max="22" width="13.7109375" bestFit="1" customWidth="1"/>
  </cols>
  <sheetData>
    <row r="1" spans="2:22" x14ac:dyDescent="0.25">
      <c r="B1" s="10" t="s">
        <v>29</v>
      </c>
      <c r="C1" s="11" t="s">
        <v>30</v>
      </c>
      <c r="F1" s="10" t="s">
        <v>31</v>
      </c>
      <c r="G1" s="11" t="s">
        <v>36</v>
      </c>
      <c r="I1" s="10" t="s">
        <v>34</v>
      </c>
      <c r="J1" s="11" t="s">
        <v>36</v>
      </c>
      <c r="L1" s="25" t="s">
        <v>36</v>
      </c>
      <c r="M1" s="6" t="s">
        <v>20</v>
      </c>
      <c r="N1" s="6" t="s">
        <v>18</v>
      </c>
      <c r="O1" s="26" t="s">
        <v>27</v>
      </c>
      <c r="Q1" s="119" t="s">
        <v>37</v>
      </c>
      <c r="R1" s="120"/>
      <c r="S1" s="120"/>
      <c r="T1" s="120"/>
      <c r="U1" s="120"/>
      <c r="V1" s="121"/>
    </row>
    <row r="2" spans="2:22" ht="30" x14ac:dyDescent="0.25">
      <c r="B2" s="17" t="s">
        <v>0</v>
      </c>
      <c r="C2" s="18" t="s">
        <v>1</v>
      </c>
      <c r="D2" s="5"/>
      <c r="E2" s="4"/>
      <c r="F2" s="48" t="s">
        <v>55</v>
      </c>
      <c r="G2" s="15">
        <v>10</v>
      </c>
      <c r="H2" s="5"/>
      <c r="I2" s="7" t="s">
        <v>42</v>
      </c>
      <c r="J2" s="12">
        <v>1</v>
      </c>
      <c r="L2" s="27">
        <v>11</v>
      </c>
      <c r="M2" s="22" t="s">
        <v>51</v>
      </c>
      <c r="N2" s="1">
        <v>321</v>
      </c>
      <c r="O2" s="28">
        <f>N2*$O$7</f>
        <v>1585.1942999999999</v>
      </c>
      <c r="Q2" s="17"/>
      <c r="R2" s="1" t="s">
        <v>38</v>
      </c>
      <c r="S2" s="1" t="s">
        <v>39</v>
      </c>
      <c r="T2" s="1" t="s">
        <v>40</v>
      </c>
      <c r="U2" s="1" t="s">
        <v>35</v>
      </c>
      <c r="V2" s="61">
        <v>0.2</v>
      </c>
    </row>
    <row r="3" spans="2:22" ht="60" x14ac:dyDescent="0.25">
      <c r="B3" s="17" t="s">
        <v>2</v>
      </c>
      <c r="C3" s="18" t="s">
        <v>3</v>
      </c>
      <c r="D3" s="5"/>
      <c r="E3" s="4"/>
      <c r="F3" s="48" t="s">
        <v>56</v>
      </c>
      <c r="G3" s="15">
        <v>10</v>
      </c>
      <c r="H3" s="5"/>
      <c r="I3" s="7" t="s">
        <v>67</v>
      </c>
      <c r="J3" s="12">
        <v>2</v>
      </c>
      <c r="L3" s="27">
        <v>12</v>
      </c>
      <c r="M3" s="22" t="s">
        <v>52</v>
      </c>
      <c r="N3" s="1">
        <v>482</v>
      </c>
      <c r="O3" s="28">
        <f>N3*$O$7</f>
        <v>2380.2606000000001</v>
      </c>
      <c r="Q3" s="17"/>
      <c r="R3" s="29">
        <f>IF(Planilha1!B8="",0,VALUE(MID(Planilha1!B8,5,1)))</f>
        <v>0</v>
      </c>
      <c r="S3" s="1">
        <f>IF(Planilha1!E23&lt;11,0,Planilha1!E23-10)</f>
        <v>0</v>
      </c>
      <c r="T3" s="1">
        <f>IF(OR(Planilha1!B8="",Planilha1!E12=""),0,VALUE(MID(Planilha1!E12,1,1)))</f>
        <v>0</v>
      </c>
      <c r="U3" s="1"/>
      <c r="V3" s="12">
        <f>Planilha1!E17</f>
        <v>0</v>
      </c>
    </row>
    <row r="4" spans="2:22" ht="45" x14ac:dyDescent="0.25">
      <c r="B4" s="17" t="s">
        <v>4</v>
      </c>
      <c r="C4" s="18" t="s">
        <v>5</v>
      </c>
      <c r="D4" s="5"/>
      <c r="E4" s="4"/>
      <c r="F4" s="48" t="s">
        <v>57</v>
      </c>
      <c r="G4" s="15">
        <v>10</v>
      </c>
      <c r="H4" s="5"/>
      <c r="I4" s="13"/>
      <c r="J4" s="8"/>
      <c r="L4" s="27">
        <v>21</v>
      </c>
      <c r="M4" s="22" t="s">
        <v>53</v>
      </c>
      <c r="N4" s="1">
        <v>230</v>
      </c>
      <c r="O4" s="28">
        <f>N4*$O$7</f>
        <v>1135.809</v>
      </c>
      <c r="Q4" s="17" t="s">
        <v>36</v>
      </c>
      <c r="R4" s="1">
        <f>IF(AND(R3&lt;6,R3&gt;0),10,IF(R3&gt;=6,20,0))</f>
        <v>0</v>
      </c>
      <c r="S4" s="1"/>
      <c r="T4" s="1">
        <f>R4+T3</f>
        <v>0</v>
      </c>
      <c r="U4" s="1"/>
      <c r="V4" s="8"/>
    </row>
    <row r="5" spans="2:22" ht="30" x14ac:dyDescent="0.25">
      <c r="B5" s="17" t="s">
        <v>6</v>
      </c>
      <c r="C5" s="18" t="s">
        <v>7</v>
      </c>
      <c r="D5" s="5"/>
      <c r="E5" s="4"/>
      <c r="F5" s="48" t="s">
        <v>58</v>
      </c>
      <c r="G5" s="15">
        <v>10</v>
      </c>
      <c r="H5" s="5"/>
      <c r="I5" s="13"/>
      <c r="J5" s="8"/>
      <c r="L5" s="27">
        <v>22</v>
      </c>
      <c r="M5" s="22" t="s">
        <v>54</v>
      </c>
      <c r="N5" s="1">
        <v>345</v>
      </c>
      <c r="O5" s="28">
        <f>N5*$O$7</f>
        <v>1703.7135000000001</v>
      </c>
      <c r="Q5" s="17" t="s">
        <v>18</v>
      </c>
      <c r="R5" s="62">
        <f>IF(R4=10,N2,IF(R4=20,N4,0))</f>
        <v>0</v>
      </c>
      <c r="S5" s="62">
        <f>S3*N6</f>
        <v>0</v>
      </c>
      <c r="T5" s="62" t="e">
        <f>VLOOKUP(T4,L2:O5,3)</f>
        <v>#N/A</v>
      </c>
      <c r="U5" s="62" t="e">
        <f>T5+S5</f>
        <v>#N/A</v>
      </c>
      <c r="V5" s="65">
        <f>IF($T$3=1,($V$3*0.2*T5),(IF($T$3=2,"não permitido",0)))</f>
        <v>0</v>
      </c>
    </row>
    <row r="6" spans="2:22" ht="30" x14ac:dyDescent="0.25">
      <c r="B6" s="17" t="s">
        <v>8</v>
      </c>
      <c r="C6" s="18" t="s">
        <v>9</v>
      </c>
      <c r="D6" s="5"/>
      <c r="E6" s="4"/>
      <c r="F6" s="48" t="s">
        <v>59</v>
      </c>
      <c r="G6" s="15">
        <v>10</v>
      </c>
      <c r="H6" s="5"/>
      <c r="I6" s="13"/>
      <c r="J6" s="8"/>
      <c r="L6" s="13"/>
      <c r="M6" s="22" t="s">
        <v>28</v>
      </c>
      <c r="N6" s="1">
        <v>5</v>
      </c>
      <c r="O6" s="28">
        <f>N6*$O$7</f>
        <v>24.691499999999998</v>
      </c>
      <c r="Q6" s="17" t="s">
        <v>41</v>
      </c>
      <c r="R6" s="63">
        <f>IF(R4=10,O2,IF(R4=20,O4,0))</f>
        <v>0</v>
      </c>
      <c r="S6" s="63">
        <f>S3*O6</f>
        <v>0</v>
      </c>
      <c r="T6" s="63" t="e">
        <f>VLOOKUP(T4,L2:O5,4)</f>
        <v>#N/A</v>
      </c>
      <c r="U6" s="63" t="e">
        <f>T6+S6</f>
        <v>#N/A</v>
      </c>
      <c r="V6" s="66">
        <f>IF($T$3=1,($V$3*0.2*T6),(IF($T$3=2,"não permitido",0)))</f>
        <v>0</v>
      </c>
    </row>
    <row r="7" spans="2:22" ht="30" x14ac:dyDescent="0.25">
      <c r="B7" s="17" t="s">
        <v>10</v>
      </c>
      <c r="C7" s="18" t="s">
        <v>11</v>
      </c>
      <c r="D7" s="5"/>
      <c r="E7" s="4"/>
      <c r="F7" s="48" t="s">
        <v>60</v>
      </c>
      <c r="G7" s="15">
        <v>20</v>
      </c>
      <c r="H7" s="5"/>
      <c r="I7" s="13"/>
      <c r="J7" s="8"/>
      <c r="L7" s="13"/>
      <c r="M7" s="21" t="s">
        <v>68</v>
      </c>
      <c r="N7" s="1">
        <v>1</v>
      </c>
      <c r="O7" s="12">
        <v>4.9382999999999999</v>
      </c>
      <c r="Q7" s="60"/>
      <c r="R7" s="64" t="b">
        <f t="shared" ref="R7:T7" si="0">IF(R6=R5*$O$7,TRUE,FALSE)</f>
        <v>1</v>
      </c>
      <c r="S7" s="64" t="b">
        <f t="shared" si="0"/>
        <v>1</v>
      </c>
      <c r="T7" s="64" t="e">
        <f t="shared" si="0"/>
        <v>#N/A</v>
      </c>
      <c r="U7" s="64" t="e">
        <f>IF(U6=U5*$O$7,TRUE,FALSE)</f>
        <v>#N/A</v>
      </c>
      <c r="V7" s="67" t="b">
        <f>IF(V6=V5*$O$7,TRUE,FALSE)</f>
        <v>1</v>
      </c>
    </row>
    <row r="8" spans="2:22" ht="30" x14ac:dyDescent="0.25">
      <c r="B8" s="17" t="s">
        <v>12</v>
      </c>
      <c r="C8" s="18" t="s">
        <v>13</v>
      </c>
      <c r="D8" s="5"/>
      <c r="E8" s="4"/>
      <c r="F8" s="48" t="s">
        <v>61</v>
      </c>
      <c r="G8" s="15">
        <v>20</v>
      </c>
      <c r="H8" s="5"/>
      <c r="I8" s="13"/>
      <c r="J8" s="8"/>
      <c r="L8" s="14"/>
      <c r="M8" s="24"/>
      <c r="N8" s="24"/>
      <c r="O8" s="9"/>
      <c r="Q8" s="13"/>
      <c r="R8" s="23"/>
      <c r="S8" s="23"/>
      <c r="T8" s="23"/>
      <c r="U8" s="23"/>
      <c r="V8" s="8"/>
    </row>
    <row r="9" spans="2:22" ht="30" x14ac:dyDescent="0.25">
      <c r="B9" s="17" t="s">
        <v>14</v>
      </c>
      <c r="C9" s="18" t="s">
        <v>15</v>
      </c>
      <c r="D9" s="5"/>
      <c r="E9" s="4"/>
      <c r="F9" s="48" t="s">
        <v>62</v>
      </c>
      <c r="G9" s="15">
        <v>20</v>
      </c>
      <c r="H9" s="5"/>
      <c r="I9" s="14"/>
      <c r="J9" s="9"/>
      <c r="Q9" s="13"/>
      <c r="R9" s="23"/>
      <c r="S9" s="23"/>
      <c r="T9" s="23"/>
      <c r="U9" s="23"/>
      <c r="V9" s="8"/>
    </row>
    <row r="10" spans="2:22" ht="60" x14ac:dyDescent="0.25">
      <c r="B10" s="19" t="s">
        <v>16</v>
      </c>
      <c r="C10" s="20" t="s">
        <v>17</v>
      </c>
      <c r="D10" s="5"/>
      <c r="E10" s="4"/>
      <c r="F10" s="49" t="s">
        <v>63</v>
      </c>
      <c r="G10" s="16">
        <v>20</v>
      </c>
      <c r="H10" s="5"/>
      <c r="Q10" s="14"/>
      <c r="R10" s="24"/>
      <c r="S10" s="24"/>
      <c r="T10" s="24"/>
      <c r="U10" s="24"/>
      <c r="V10" s="9"/>
    </row>
    <row r="12" spans="2:22" x14ac:dyDescent="0.25">
      <c r="G12" s="3"/>
      <c r="H12" s="3"/>
    </row>
  </sheetData>
  <sheetProtection algorithmName="SHA-512" hashValue="p4am/NKiXRoOt2VL+rxdE8dcu2Xv1QuRSF54c1db2Nx6SOCnlcpy1rh+C9sx5j/Jpj4qMdgkPl09Vo4t0sSYiw==" saltValue="cu+Yhmz+orulbggVM4QkMg==" spinCount="100000" sheet="1" objects="1" scenarios="1"/>
  <mergeCells count="1">
    <mergeCell ref="Q1:V1"/>
  </mergeCells>
  <dataValidations disablePrompts="1" count="1">
    <dataValidation type="list" allowBlank="1" showInputMessage="1" showErrorMessage="1" sqref="B10" xr:uid="{7E3A5E59-9B56-4F22-89FC-4C22BB2E0B59}">
      <formula1>#REF!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Planilha2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Campos Canal</dc:creator>
  <cp:lastModifiedBy>Edilene Evangelista Andrade</cp:lastModifiedBy>
  <cp:lastPrinted>2026-04-01T20:03:57Z</cp:lastPrinted>
  <dcterms:created xsi:type="dcterms:W3CDTF">2021-04-14T14:10:01Z</dcterms:created>
  <dcterms:modified xsi:type="dcterms:W3CDTF">2026-09-09T18:18:41Z</dcterms:modified>
</cp:coreProperties>
</file>