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ap\Dropbox\My PC (LAPTOP-9MG4FB1P)\Desktop\Trabalho Cadore\2. Nassau\Comunidade Bentônica e Planctônica\Zooplâncton\"/>
    </mc:Choice>
  </mc:AlternateContent>
  <xr:revisionPtr revIDLastSave="0" documentId="13_ncr:1_{5177475D-FA95-44F8-938D-FD0D35A077DB}" xr6:coauthVersionLast="47" xr6:coauthVersionMax="47" xr10:uidLastSave="{00000000-0000-0000-0000-000000000000}"/>
  <bookViews>
    <workbookView xWindow="-120" yWindow="-120" windowWidth="20730" windowHeight="11040" activeTab="3" xr2:uid="{CCBA82E0-EA8E-43AC-8E4A-11EC7FADE4A9}"/>
  </bookViews>
  <sheets>
    <sheet name="Densidade" sheetId="1" r:id="rId1"/>
    <sheet name="Riqueza" sheetId="2" r:id="rId2"/>
    <sheet name="AB Relativa" sheetId="3" r:id="rId3"/>
    <sheet name="I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4" l="1"/>
  <c r="D4" i="4"/>
  <c r="E4" i="4"/>
  <c r="F4" i="4"/>
  <c r="G4" i="4"/>
  <c r="H4" i="4"/>
  <c r="I4" i="4"/>
  <c r="J4" i="4"/>
  <c r="K4" i="4"/>
  <c r="B4" i="4"/>
  <c r="K123" i="4"/>
  <c r="K114" i="4"/>
  <c r="K115" i="4"/>
  <c r="K116" i="4"/>
  <c r="K117" i="4"/>
  <c r="K118" i="4"/>
  <c r="K119" i="4"/>
  <c r="K120" i="4"/>
  <c r="K121" i="4"/>
  <c r="K113" i="4"/>
  <c r="J114" i="4"/>
  <c r="J115" i="4"/>
  <c r="J116" i="4"/>
  <c r="J117" i="4"/>
  <c r="J118" i="4"/>
  <c r="J119" i="4"/>
  <c r="J120" i="4"/>
  <c r="J121" i="4"/>
  <c r="J113" i="4"/>
  <c r="I114" i="4"/>
  <c r="I115" i="4"/>
  <c r="I116" i="4"/>
  <c r="I117" i="4"/>
  <c r="I118" i="4"/>
  <c r="I119" i="4"/>
  <c r="I120" i="4"/>
  <c r="I121" i="4"/>
  <c r="I113" i="4"/>
  <c r="E122" i="4"/>
  <c r="E114" i="4"/>
  <c r="E115" i="4"/>
  <c r="E116" i="4"/>
  <c r="E117" i="4"/>
  <c r="E118" i="4"/>
  <c r="E119" i="4"/>
  <c r="E120" i="4"/>
  <c r="E113" i="4"/>
  <c r="D114" i="4"/>
  <c r="D115" i="4"/>
  <c r="D116" i="4"/>
  <c r="D117" i="4"/>
  <c r="D118" i="4"/>
  <c r="D119" i="4"/>
  <c r="D120" i="4"/>
  <c r="D113" i="4"/>
  <c r="C114" i="4"/>
  <c r="C115" i="4"/>
  <c r="C116" i="4"/>
  <c r="C117" i="4"/>
  <c r="C118" i="4"/>
  <c r="C119" i="4"/>
  <c r="C120" i="4"/>
  <c r="C113" i="4"/>
  <c r="J92" i="4"/>
  <c r="K92" i="4" s="1"/>
  <c r="J93" i="4"/>
  <c r="K93" i="4" s="1"/>
  <c r="I89" i="4"/>
  <c r="I90" i="4"/>
  <c r="J90" i="4" s="1"/>
  <c r="I91" i="4"/>
  <c r="I92" i="4"/>
  <c r="I93" i="4"/>
  <c r="I94" i="4"/>
  <c r="J94" i="4" s="1"/>
  <c r="K94" i="4" s="1"/>
  <c r="I95" i="4"/>
  <c r="J95" i="4" s="1"/>
  <c r="K95" i="4" s="1"/>
  <c r="I96" i="4"/>
  <c r="I97" i="4"/>
  <c r="I88" i="4"/>
  <c r="D93" i="4"/>
  <c r="E93" i="4" s="1"/>
  <c r="D94" i="4"/>
  <c r="E94" i="4" s="1"/>
  <c r="D101" i="4"/>
  <c r="E101" i="4" s="1"/>
  <c r="D102" i="4"/>
  <c r="E102" i="4" s="1"/>
  <c r="C89" i="4"/>
  <c r="C90" i="4"/>
  <c r="D90" i="4" s="1"/>
  <c r="C91" i="4"/>
  <c r="D91" i="4" s="1"/>
  <c r="C92" i="4"/>
  <c r="C93" i="4"/>
  <c r="C94" i="4"/>
  <c r="C95" i="4"/>
  <c r="D95" i="4" s="1"/>
  <c r="E95" i="4" s="1"/>
  <c r="C96" i="4"/>
  <c r="D96" i="4" s="1"/>
  <c r="E96" i="4" s="1"/>
  <c r="C97" i="4"/>
  <c r="C98" i="4"/>
  <c r="D98" i="4" s="1"/>
  <c r="C99" i="4"/>
  <c r="C100" i="4"/>
  <c r="C101" i="4"/>
  <c r="C102" i="4"/>
  <c r="C103" i="4"/>
  <c r="D103" i="4" s="1"/>
  <c r="E103" i="4" s="1"/>
  <c r="C104" i="4"/>
  <c r="D104" i="4" s="1"/>
  <c r="E104" i="4" s="1"/>
  <c r="C105" i="4"/>
  <c r="C88" i="4"/>
  <c r="I66" i="4"/>
  <c r="J66" i="4" s="1"/>
  <c r="K66" i="4" s="1"/>
  <c r="I65" i="4"/>
  <c r="C66" i="4"/>
  <c r="D66" i="4" s="1"/>
  <c r="C67" i="4"/>
  <c r="D67" i="4" s="1"/>
  <c r="C68" i="4"/>
  <c r="D68" i="4" s="1"/>
  <c r="C69" i="4"/>
  <c r="D69" i="4" s="1"/>
  <c r="C70" i="4"/>
  <c r="D70" i="4" s="1"/>
  <c r="E70" i="4" s="1"/>
  <c r="C71" i="4"/>
  <c r="D71" i="4" s="1"/>
  <c r="E71" i="4" s="1"/>
  <c r="C72" i="4"/>
  <c r="D72" i="4" s="1"/>
  <c r="C73" i="4"/>
  <c r="D73" i="4" s="1"/>
  <c r="C74" i="4"/>
  <c r="D74" i="4" s="1"/>
  <c r="C75" i="4"/>
  <c r="D75" i="4" s="1"/>
  <c r="C76" i="4"/>
  <c r="D76" i="4" s="1"/>
  <c r="C77" i="4"/>
  <c r="D77" i="4" s="1"/>
  <c r="C78" i="4"/>
  <c r="D78" i="4" s="1"/>
  <c r="E78" i="4" s="1"/>
  <c r="C79" i="4"/>
  <c r="D79" i="4" s="1"/>
  <c r="E79" i="4" s="1"/>
  <c r="C65" i="4"/>
  <c r="D65" i="4" s="1"/>
  <c r="I49" i="4"/>
  <c r="I50" i="4"/>
  <c r="I51" i="4"/>
  <c r="I52" i="4"/>
  <c r="I53" i="4"/>
  <c r="I54" i="4"/>
  <c r="I55" i="4"/>
  <c r="I48" i="4"/>
  <c r="C49" i="4"/>
  <c r="C50" i="4"/>
  <c r="C51" i="4"/>
  <c r="D51" i="4" s="1"/>
  <c r="E51" i="4" s="1"/>
  <c r="C52" i="4"/>
  <c r="D52" i="4" s="1"/>
  <c r="E52" i="4" s="1"/>
  <c r="C53" i="4"/>
  <c r="D53" i="4" s="1"/>
  <c r="E53" i="4" s="1"/>
  <c r="C54" i="4"/>
  <c r="D54" i="4" s="1"/>
  <c r="E54" i="4" s="1"/>
  <c r="C55" i="4"/>
  <c r="C56" i="4"/>
  <c r="C57" i="4"/>
  <c r="C48" i="4"/>
  <c r="I12" i="4"/>
  <c r="J12" i="4" s="1"/>
  <c r="I13" i="4"/>
  <c r="J13" i="4" s="1"/>
  <c r="I14" i="4"/>
  <c r="J14" i="4" s="1"/>
  <c r="I15" i="4"/>
  <c r="J15" i="4" s="1"/>
  <c r="I16" i="4"/>
  <c r="J16" i="4" s="1"/>
  <c r="I17" i="4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I26" i="4"/>
  <c r="I27" i="4"/>
  <c r="J27" i="4" s="1"/>
  <c r="I28" i="4"/>
  <c r="J28" i="4" s="1"/>
  <c r="I29" i="4"/>
  <c r="J29" i="4" s="1"/>
  <c r="I30" i="4"/>
  <c r="J30" i="4" s="1"/>
  <c r="I31" i="4"/>
  <c r="J31" i="4" s="1"/>
  <c r="I11" i="4"/>
  <c r="J11" i="4" s="1"/>
  <c r="C12" i="4"/>
  <c r="D12" i="4" s="1"/>
  <c r="C13" i="4"/>
  <c r="D13" i="4" s="1"/>
  <c r="E13" i="4" s="1"/>
  <c r="C14" i="4"/>
  <c r="C15" i="4"/>
  <c r="C16" i="4"/>
  <c r="C17" i="4"/>
  <c r="D17" i="4" s="1"/>
  <c r="E17" i="4" s="1"/>
  <c r="C18" i="4"/>
  <c r="D18" i="4" s="1"/>
  <c r="E18" i="4" s="1"/>
  <c r="C19" i="4"/>
  <c r="C20" i="4"/>
  <c r="D20" i="4" s="1"/>
  <c r="C21" i="4"/>
  <c r="D21" i="4" s="1"/>
  <c r="E21" i="4" s="1"/>
  <c r="C22" i="4"/>
  <c r="D22" i="4" s="1"/>
  <c r="C23" i="4"/>
  <c r="D23" i="4" s="1"/>
  <c r="C24" i="4"/>
  <c r="D24" i="4" s="1"/>
  <c r="C25" i="4"/>
  <c r="D25" i="4" s="1"/>
  <c r="C26" i="4"/>
  <c r="D26" i="4" s="1"/>
  <c r="C27" i="4"/>
  <c r="D27" i="4" s="1"/>
  <c r="C28" i="4"/>
  <c r="D28" i="4" s="1"/>
  <c r="C29" i="4"/>
  <c r="D29" i="4" s="1"/>
  <c r="E29" i="4" s="1"/>
  <c r="C30" i="4"/>
  <c r="D30" i="4" s="1"/>
  <c r="C31" i="4"/>
  <c r="D31" i="4" s="1"/>
  <c r="C32" i="4"/>
  <c r="D32" i="4" s="1"/>
  <c r="C33" i="4"/>
  <c r="C34" i="4"/>
  <c r="C35" i="4"/>
  <c r="D35" i="4" s="1"/>
  <c r="C36" i="4"/>
  <c r="D36" i="4" s="1"/>
  <c r="C37" i="4"/>
  <c r="D37" i="4" s="1"/>
  <c r="E37" i="4" s="1"/>
  <c r="C38" i="4"/>
  <c r="D38" i="4" s="1"/>
  <c r="C39" i="4"/>
  <c r="D39" i="4" s="1"/>
  <c r="C40" i="4"/>
  <c r="D40" i="4" s="1"/>
  <c r="C41" i="4"/>
  <c r="D41" i="4" s="1"/>
  <c r="C11" i="4"/>
  <c r="D11" i="4" s="1"/>
  <c r="C7" i="4"/>
  <c r="D7" i="4"/>
  <c r="E7" i="4"/>
  <c r="F7" i="4"/>
  <c r="G7" i="4"/>
  <c r="H7" i="4"/>
  <c r="I7" i="4"/>
  <c r="J7" i="4"/>
  <c r="K7" i="4"/>
  <c r="B7" i="4"/>
  <c r="K8" i="3"/>
  <c r="K7" i="3"/>
  <c r="K4" i="3"/>
  <c r="J7" i="3"/>
  <c r="J4" i="3"/>
  <c r="I8" i="3"/>
  <c r="I7" i="3"/>
  <c r="I5" i="3"/>
  <c r="I4" i="3"/>
  <c r="H8" i="3"/>
  <c r="H7" i="3"/>
  <c r="H4" i="3"/>
  <c r="H3" i="3"/>
  <c r="G4" i="3"/>
  <c r="F8" i="3"/>
  <c r="F7" i="3"/>
  <c r="F5" i="3"/>
  <c r="F4" i="3"/>
  <c r="E7" i="3"/>
  <c r="E5" i="3"/>
  <c r="E4" i="3"/>
  <c r="D7" i="3"/>
  <c r="D4" i="3"/>
  <c r="D3" i="3"/>
  <c r="C7" i="3"/>
  <c r="C5" i="3"/>
  <c r="C4" i="3"/>
  <c r="C2" i="3"/>
  <c r="B7" i="3"/>
  <c r="B6" i="3"/>
  <c r="B5" i="3"/>
  <c r="B4" i="3"/>
  <c r="B3" i="3"/>
  <c r="N82" i="2"/>
  <c r="N83" i="2"/>
  <c r="N84" i="2"/>
  <c r="N85" i="2"/>
  <c r="N86" i="2"/>
  <c r="N87" i="2"/>
  <c r="N81" i="2"/>
  <c r="B76" i="2"/>
  <c r="C76" i="2"/>
  <c r="D76" i="2"/>
  <c r="E76" i="2"/>
  <c r="F76" i="2"/>
  <c r="G76" i="2"/>
  <c r="H76" i="2"/>
  <c r="I76" i="2"/>
  <c r="J76" i="2"/>
  <c r="K76" i="2"/>
  <c r="E92" i="4" l="1"/>
  <c r="K96" i="4"/>
  <c r="K91" i="4"/>
  <c r="E97" i="4"/>
  <c r="E89" i="4"/>
  <c r="D99" i="4"/>
  <c r="E99" i="4" s="1"/>
  <c r="J88" i="4"/>
  <c r="K88" i="4" s="1"/>
  <c r="J97" i="4"/>
  <c r="K97" i="4" s="1"/>
  <c r="D105" i="4"/>
  <c r="E105" i="4" s="1"/>
  <c r="D97" i="4"/>
  <c r="D89" i="4"/>
  <c r="E91" i="4"/>
  <c r="J96" i="4"/>
  <c r="K90" i="4"/>
  <c r="D100" i="4"/>
  <c r="E100" i="4" s="1"/>
  <c r="D88" i="4"/>
  <c r="E88" i="4" s="1"/>
  <c r="E107" i="4" s="1"/>
  <c r="J89" i="4"/>
  <c r="K89" i="4" s="1"/>
  <c r="E98" i="4"/>
  <c r="E90" i="4"/>
  <c r="D92" i="4"/>
  <c r="J91" i="4"/>
  <c r="E65" i="4"/>
  <c r="E73" i="4"/>
  <c r="E72" i="4"/>
  <c r="E74" i="4"/>
  <c r="J17" i="4"/>
  <c r="K17" i="4" s="1"/>
  <c r="E66" i="4"/>
  <c r="E76" i="4"/>
  <c r="E68" i="4"/>
  <c r="J26" i="4"/>
  <c r="K26" i="4" s="1"/>
  <c r="J25" i="4"/>
  <c r="K25" i="4" s="1"/>
  <c r="J65" i="4"/>
  <c r="K65" i="4" s="1"/>
  <c r="K68" i="4" s="1"/>
  <c r="E77" i="4"/>
  <c r="E69" i="4"/>
  <c r="K29" i="4"/>
  <c r="K21" i="4"/>
  <c r="K13" i="4"/>
  <c r="K18" i="4"/>
  <c r="K28" i="4"/>
  <c r="K20" i="4"/>
  <c r="K12" i="4"/>
  <c r="E75" i="4"/>
  <c r="E67" i="4"/>
  <c r="K27" i="4"/>
  <c r="K19" i="4"/>
  <c r="J55" i="4"/>
  <c r="K55" i="4" s="1"/>
  <c r="J54" i="4"/>
  <c r="K54" i="4" s="1"/>
  <c r="K11" i="4"/>
  <c r="K24" i="4"/>
  <c r="K16" i="4"/>
  <c r="D48" i="4"/>
  <c r="E48" i="4" s="1"/>
  <c r="D50" i="4"/>
  <c r="E50" i="4" s="1"/>
  <c r="J53" i="4"/>
  <c r="K53" i="4" s="1"/>
  <c r="K31" i="4"/>
  <c r="K23" i="4"/>
  <c r="K15" i="4"/>
  <c r="D57" i="4"/>
  <c r="E57" i="4" s="1"/>
  <c r="D49" i="4"/>
  <c r="E49" i="4" s="1"/>
  <c r="J52" i="4"/>
  <c r="K52" i="4" s="1"/>
  <c r="K30" i="4"/>
  <c r="K22" i="4"/>
  <c r="K14" i="4"/>
  <c r="D56" i="4"/>
  <c r="E56" i="4" s="1"/>
  <c r="J51" i="4"/>
  <c r="K51" i="4" s="1"/>
  <c r="D55" i="4"/>
  <c r="E55" i="4" s="1"/>
  <c r="J50" i="4"/>
  <c r="K50" i="4" s="1"/>
  <c r="J49" i="4"/>
  <c r="K49" i="4" s="1"/>
  <c r="J48" i="4"/>
  <c r="K48" i="4" s="1"/>
  <c r="E41" i="4"/>
  <c r="E11" i="4"/>
  <c r="E38" i="4"/>
  <c r="E26" i="4"/>
  <c r="E25" i="4"/>
  <c r="E39" i="4"/>
  <c r="D34" i="4"/>
  <c r="E34" i="4" s="1"/>
  <c r="D33" i="4"/>
  <c r="E33" i="4" s="1"/>
  <c r="E24" i="4"/>
  <c r="D16" i="4"/>
  <c r="E16" i="4" s="1"/>
  <c r="E23" i="4"/>
  <c r="D15" i="4"/>
  <c r="E15" i="4" s="1"/>
  <c r="E22" i="4"/>
  <c r="D14" i="4"/>
  <c r="E14" i="4" s="1"/>
  <c r="E32" i="4"/>
  <c r="E31" i="4"/>
  <c r="E35" i="4"/>
  <c r="E27" i="4"/>
  <c r="E30" i="4"/>
  <c r="D19" i="4"/>
  <c r="E19" i="4" s="1"/>
  <c r="E40" i="4"/>
  <c r="E36" i="4"/>
  <c r="E28" i="4"/>
  <c r="E20" i="4"/>
  <c r="E12" i="4"/>
  <c r="K90" i="1"/>
  <c r="K89" i="1"/>
  <c r="K88" i="1"/>
  <c r="K87" i="1"/>
  <c r="K86" i="1"/>
  <c r="K85" i="1"/>
  <c r="K84" i="1"/>
  <c r="M5" i="1"/>
  <c r="M6" i="1"/>
  <c r="M7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7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5" i="1"/>
  <c r="M3" i="1"/>
  <c r="C76" i="1"/>
  <c r="D76" i="1"/>
  <c r="E76" i="1"/>
  <c r="F76" i="1"/>
  <c r="G76" i="1"/>
  <c r="H76" i="1"/>
  <c r="I76" i="1"/>
  <c r="J76" i="1"/>
  <c r="K76" i="1"/>
  <c r="B76" i="1"/>
  <c r="N5" i="1" l="1"/>
  <c r="N9" i="1"/>
  <c r="N59" i="1"/>
  <c r="N40" i="1"/>
  <c r="K99" i="4"/>
  <c r="E81" i="4"/>
  <c r="E59" i="4"/>
  <c r="K33" i="4"/>
  <c r="K57" i="4"/>
  <c r="E43" i="4"/>
</calcChain>
</file>

<file path=xl/sharedStrings.xml><?xml version="1.0" encoding="utf-8"?>
<sst xmlns="http://schemas.openxmlformats.org/spreadsheetml/2006/main" count="605" uniqueCount="159">
  <si>
    <t>P1 -
Jacaré</t>
  </si>
  <si>
    <t>P2 -
Jacaré</t>
  </si>
  <si>
    <r>
      <rPr>
        <b/>
        <sz val="9"/>
        <color theme="0"/>
        <rFont val="Arial"/>
        <family val="2"/>
      </rPr>
      <t>P3 -
Jacaré</t>
    </r>
  </si>
  <si>
    <r>
      <rPr>
        <b/>
        <sz val="9"/>
        <color theme="0"/>
        <rFont val="Arial"/>
        <family val="2"/>
      </rPr>
      <t>P4 -
Jacaré</t>
    </r>
  </si>
  <si>
    <r>
      <rPr>
        <b/>
        <sz val="9"/>
        <color theme="0"/>
        <rFont val="Arial"/>
        <family val="2"/>
      </rPr>
      <t>P5 -
Jacaré</t>
    </r>
  </si>
  <si>
    <r>
      <rPr>
        <b/>
        <sz val="9"/>
        <color theme="0"/>
        <rFont val="Arial"/>
        <family val="2"/>
      </rPr>
      <t>P6 -
Jacaré</t>
    </r>
  </si>
  <si>
    <r>
      <rPr>
        <b/>
        <sz val="9"/>
        <color theme="0"/>
        <rFont val="Arial"/>
        <family val="2"/>
      </rPr>
      <t>P1 -
Itapemirim</t>
    </r>
  </si>
  <si>
    <r>
      <rPr>
        <b/>
        <sz val="9"/>
        <color theme="0"/>
        <rFont val="Arial"/>
        <family val="2"/>
      </rPr>
      <t>P2 -
Itapemirim</t>
    </r>
  </si>
  <si>
    <r>
      <rPr>
        <b/>
        <sz val="9"/>
        <color theme="0"/>
        <rFont val="Arial"/>
        <family val="2"/>
      </rPr>
      <t>P3 -
Itapemirim</t>
    </r>
  </si>
  <si>
    <r>
      <rPr>
        <b/>
        <sz val="9"/>
        <color theme="0"/>
        <rFont val="Arial"/>
        <family val="2"/>
      </rPr>
      <t>P4 -
Itapemirim</t>
    </r>
  </si>
  <si>
    <t>Ciliophora</t>
  </si>
  <si>
    <t>Grupo/Táxon</t>
  </si>
  <si>
    <t>Cercozoa</t>
  </si>
  <si>
    <t>Amoebozoa</t>
  </si>
  <si>
    <t>Rotifera</t>
  </si>
  <si>
    <t>Gastrotricha</t>
  </si>
  <si>
    <t>Arthropoda</t>
  </si>
  <si>
    <t>Mollusca</t>
  </si>
  <si>
    <t>Bivalvia N.I.</t>
  </si>
  <si>
    <t>Lecane leontina</t>
  </si>
  <si>
    <t>Cephalodella sp.</t>
  </si>
  <si>
    <t>Gastrotricha N.I.</t>
  </si>
  <si>
    <t>Trinema enchelys</t>
  </si>
  <si>
    <t>Euglypha filifera</t>
  </si>
  <si>
    <t>Arcella hemisphaerica undulata</t>
  </si>
  <si>
    <t>Galeripora dentata</t>
  </si>
  <si>
    <t>Galeripora discoides</t>
  </si>
  <si>
    <t>Galeripora megastoma</t>
  </si>
  <si>
    <t>Centropyxis aculeata</t>
  </si>
  <si>
    <t>Centropyxis discoides</t>
  </si>
  <si>
    <t>Centropyxis constricta minima</t>
  </si>
  <si>
    <t>Difflugia urceolata</t>
  </si>
  <si>
    <t>Difflugia lacustris</t>
  </si>
  <si>
    <t>Difflugia cylindrus</t>
  </si>
  <si>
    <t>Cylindrifflugia acuminata</t>
  </si>
  <si>
    <t>Netzelia corona</t>
  </si>
  <si>
    <t>Netzelia oviformis</t>
  </si>
  <si>
    <t>Netzelia lobostoma</t>
  </si>
  <si>
    <t>Netzelia kempnyi</t>
  </si>
  <si>
    <t>Netzelia wailesi</t>
  </si>
  <si>
    <t>Netzelia tuberculata</t>
  </si>
  <si>
    <t>Lesquereusia modesta</t>
  </si>
  <si>
    <t>Lesquereusia spiralis</t>
  </si>
  <si>
    <t>Lecane bulla</t>
  </si>
  <si>
    <t>Lecane cornuta</t>
  </si>
  <si>
    <t>Lecane papuana</t>
  </si>
  <si>
    <t>Lecane luna</t>
  </si>
  <si>
    <t>Testudinella patina</t>
  </si>
  <si>
    <t>Mytilina ventralis</t>
  </si>
  <si>
    <t>Brachionus falcatus</t>
  </si>
  <si>
    <t>Brachionus angularis</t>
  </si>
  <si>
    <t>Platyias quadricornis</t>
  </si>
  <si>
    <t>Plationus patulus</t>
  </si>
  <si>
    <t>Nauplio</t>
  </si>
  <si>
    <t>Copepodito</t>
  </si>
  <si>
    <t>Thermocyclops decipiens</t>
  </si>
  <si>
    <t>Chydorus pubescens</t>
  </si>
  <si>
    <t>Ilyocryptus spinifer</t>
  </si>
  <si>
    <t>Ceriodaphnia cornuta</t>
  </si>
  <si>
    <t>Macrothrix spinosa</t>
  </si>
  <si>
    <t>Diaphanosoma spinulosum</t>
  </si>
  <si>
    <r>
      <rPr>
        <i/>
        <sz val="9"/>
        <rFont val="Arial"/>
        <family val="2"/>
      </rPr>
      <t xml:space="preserve">Euplotes </t>
    </r>
    <r>
      <rPr>
        <sz val="9"/>
        <rFont val="Arial"/>
        <family val="2"/>
      </rPr>
      <t>sp</t>
    </r>
  </si>
  <si>
    <r>
      <rPr>
        <i/>
        <sz val="9"/>
        <rFont val="Arial"/>
        <family val="2"/>
      </rPr>
      <t xml:space="preserve">Centropyxis </t>
    </r>
    <r>
      <rPr>
        <sz val="9"/>
        <rFont val="Arial"/>
        <family val="2"/>
      </rPr>
      <t>sp.1</t>
    </r>
  </si>
  <si>
    <r>
      <rPr>
        <i/>
        <sz val="9"/>
        <rFont val="Arial"/>
        <family val="2"/>
      </rPr>
      <t xml:space="preserve">Difflugia </t>
    </r>
    <r>
      <rPr>
        <sz val="9"/>
        <rFont val="Arial"/>
        <family val="2"/>
      </rPr>
      <t>sp.1</t>
    </r>
  </si>
  <si>
    <r>
      <rPr>
        <i/>
        <sz val="9"/>
        <rFont val="Arial"/>
        <family val="2"/>
      </rPr>
      <t xml:space="preserve">Lesquereusia modesta </t>
    </r>
    <r>
      <rPr>
        <sz val="9"/>
        <rFont val="Arial"/>
        <family val="2"/>
      </rPr>
      <t xml:space="preserve">var. </t>
    </r>
    <r>
      <rPr>
        <i/>
        <sz val="9"/>
        <rFont val="Arial"/>
        <family val="2"/>
      </rPr>
      <t>caudata</t>
    </r>
  </si>
  <si>
    <r>
      <rPr>
        <i/>
        <sz val="9"/>
        <rFont val="Arial"/>
        <family val="2"/>
      </rPr>
      <t xml:space="preserve">Tripleuchlanis </t>
    </r>
    <r>
      <rPr>
        <sz val="9"/>
        <rFont val="Arial"/>
        <family val="2"/>
      </rPr>
      <t>sp</t>
    </r>
  </si>
  <si>
    <r>
      <rPr>
        <i/>
        <sz val="9"/>
        <rFont val="Arial"/>
        <family val="2"/>
      </rPr>
      <t xml:space="preserve">Colurella </t>
    </r>
    <r>
      <rPr>
        <sz val="9"/>
        <rFont val="Arial"/>
        <family val="2"/>
      </rPr>
      <t>sp</t>
    </r>
  </si>
  <si>
    <r>
      <rPr>
        <i/>
        <sz val="9"/>
        <rFont val="Arial"/>
        <family val="2"/>
      </rPr>
      <t xml:space="preserve">Polyarthra </t>
    </r>
    <r>
      <rPr>
        <sz val="9"/>
        <rFont val="Arial"/>
        <family val="2"/>
      </rPr>
      <t>sp</t>
    </r>
  </si>
  <si>
    <r>
      <rPr>
        <i/>
        <sz val="9"/>
        <rFont val="Arial"/>
        <family val="2"/>
      </rPr>
      <t xml:space="preserve">Paracyclops </t>
    </r>
    <r>
      <rPr>
        <sz val="9"/>
        <rFont val="Arial"/>
        <family val="2"/>
      </rPr>
      <t>sp</t>
    </r>
  </si>
  <si>
    <r>
      <rPr>
        <i/>
        <sz val="9"/>
        <rFont val="Arial"/>
        <family val="2"/>
      </rPr>
      <t xml:space="preserve">Tropocyclops </t>
    </r>
    <r>
      <rPr>
        <sz val="9"/>
        <rFont val="Arial"/>
        <family val="2"/>
      </rPr>
      <t>sp</t>
    </r>
  </si>
  <si>
    <r>
      <rPr>
        <i/>
        <sz val="9"/>
        <rFont val="Arial"/>
        <family val="2"/>
      </rPr>
      <t xml:space="preserve">Microcyclops </t>
    </r>
    <r>
      <rPr>
        <sz val="9"/>
        <rFont val="Arial"/>
        <family val="2"/>
      </rPr>
      <t>sp</t>
    </r>
  </si>
  <si>
    <r>
      <rPr>
        <i/>
        <sz val="9"/>
        <rFont val="Arial"/>
        <family val="2"/>
      </rPr>
      <t xml:space="preserve">Eucyclops </t>
    </r>
    <r>
      <rPr>
        <sz val="9"/>
        <rFont val="Arial"/>
        <family val="2"/>
      </rPr>
      <t>sp</t>
    </r>
  </si>
  <si>
    <r>
      <rPr>
        <i/>
        <sz val="9"/>
        <rFont val="Arial"/>
        <family val="2"/>
      </rPr>
      <t xml:space="preserve">Ectocyclops </t>
    </r>
    <r>
      <rPr>
        <sz val="9"/>
        <rFont val="Arial"/>
        <family val="2"/>
      </rPr>
      <t>sp</t>
    </r>
  </si>
  <si>
    <r>
      <rPr>
        <i/>
        <sz val="9"/>
        <rFont val="Arial"/>
        <family val="2"/>
      </rPr>
      <t xml:space="preserve">Simocephalus </t>
    </r>
    <r>
      <rPr>
        <sz val="9"/>
        <rFont val="Arial"/>
        <family val="2"/>
      </rPr>
      <t>sp</t>
    </r>
  </si>
  <si>
    <t>Centropyxis marsupiformis</t>
  </si>
  <si>
    <t>Centropyxis platystoma</t>
  </si>
  <si>
    <t>Bdelloidea N.I.</t>
  </si>
  <si>
    <t>Palaemonidae N.I.</t>
  </si>
  <si>
    <t>Cyphoderia ampulla</t>
  </si>
  <si>
    <t>Arcella intermedia</t>
  </si>
  <si>
    <t>Arcella vulgaris</t>
  </si>
  <si>
    <t>Cyclopyxis kahli</t>
  </si>
  <si>
    <t>Difflugia kempnyi</t>
  </si>
  <si>
    <t>Netzelia gramen</t>
  </si>
  <si>
    <r>
      <rPr>
        <i/>
        <sz val="9"/>
        <rFont val="Arial"/>
        <family val="2"/>
      </rPr>
      <t xml:space="preserve">Pontigulasia </t>
    </r>
    <r>
      <rPr>
        <sz val="9"/>
        <rFont val="Arial"/>
        <family val="2"/>
      </rPr>
      <t>sp</t>
    </r>
  </si>
  <si>
    <t>TOTAL</t>
  </si>
  <si>
    <t>FO(%)</t>
  </si>
  <si>
    <t>-</t>
  </si>
  <si>
    <t>SOMA SP</t>
  </si>
  <si>
    <t>SOMA GRUPO</t>
  </si>
  <si>
    <t>P1-J</t>
  </si>
  <si>
    <t>P2-J</t>
  </si>
  <si>
    <t>P3-J</t>
  </si>
  <si>
    <t>P4-J</t>
  </si>
  <si>
    <t>P5-J</t>
  </si>
  <si>
    <t>P6-J</t>
  </si>
  <si>
    <t>P1-IT</t>
  </si>
  <si>
    <t>P2-IT</t>
  </si>
  <si>
    <t>P3-IT</t>
  </si>
  <si>
    <t>P4-IT</t>
  </si>
  <si>
    <t>X</t>
  </si>
  <si>
    <t>P1-It</t>
  </si>
  <si>
    <t>P2-It</t>
  </si>
  <si>
    <t>P3-It</t>
  </si>
  <si>
    <t>P4-It</t>
  </si>
  <si>
    <t>Riqueza (S)</t>
  </si>
  <si>
    <t>Diversidade (H´)</t>
  </si>
  <si>
    <t>Equitabilidade (J´)</t>
  </si>
  <si>
    <t>LN(S)</t>
  </si>
  <si>
    <t>Ponto 1-J (Diversidade Ecologica)</t>
  </si>
  <si>
    <t>Ponto 2-J (Diversidade Ecologica)</t>
  </si>
  <si>
    <t>Especie</t>
  </si>
  <si>
    <t>Quantidade</t>
  </si>
  <si>
    <t>(pi = ni/N)</t>
  </si>
  <si>
    <t>log natural de pi</t>
  </si>
  <si>
    <t>(pi X log nat de pi)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</si>
  <si>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</si>
  <si>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</si>
  <si>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</si>
  <si>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</si>
  <si>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</si>
  <si>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</si>
  <si>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</si>
  <si>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</si>
  <si>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</si>
  <si>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</si>
  <si>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Ponto 3-J (Diversidade Ecologica)</t>
  </si>
  <si>
    <t>Ponto 4-J (Diversidade Ecologica)</t>
  </si>
  <si>
    <t>Ponto 5-J (Diversidade Ecologica)</t>
  </si>
  <si>
    <t>Ponto 6-J (Diversidade Ecologica)</t>
  </si>
  <si>
    <t>Ponto 1-IT (Diversidade Ecologica)</t>
  </si>
  <si>
    <t>Ponto 2-IT (Diversidade Ecologica)</t>
  </si>
  <si>
    <t>Ponto 3-IT (Diversidade Ecologica)</t>
  </si>
  <si>
    <t>Ponto 4-IT (Diversidade Ecologica)</t>
  </si>
  <si>
    <t>sp11</t>
  </si>
  <si>
    <t>sp12</t>
  </si>
  <si>
    <t>sp13</t>
  </si>
  <si>
    <t>sp14</t>
  </si>
  <si>
    <t>sp15</t>
  </si>
  <si>
    <t>sp16</t>
  </si>
  <si>
    <t>sp17</t>
  </si>
  <si>
    <t>sp18</t>
  </si>
  <si>
    <t>sp19</t>
  </si>
  <si>
    <t>sp20</t>
  </si>
  <si>
    <t>sp21</t>
  </si>
  <si>
    <t>sp22</t>
  </si>
  <si>
    <t>sp23</t>
  </si>
  <si>
    <t>sp24</t>
  </si>
  <si>
    <t>sp25</t>
  </si>
  <si>
    <t>sp26</t>
  </si>
  <si>
    <t>sp27</t>
  </si>
  <si>
    <t>sp28</t>
  </si>
  <si>
    <t>sp29</t>
  </si>
  <si>
    <t>sp30</t>
  </si>
  <si>
    <t>sp31</t>
  </si>
  <si>
    <t>Pontos de Amostragem</t>
  </si>
  <si>
    <t>Índices Ecológicos</t>
  </si>
  <si>
    <t>Diversidade (H')</t>
  </si>
  <si>
    <t>Equitabilidade (H')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</si>
</sst>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9" fontId="0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8" fillId="0" borderId="1" xfId="0" applyFont="1" applyBorder="1"/>
    <xf numFmtId="2" fontId="7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Densidade </a:t>
            </a:r>
            <a:r>
              <a:rPr lang="en-US"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US" sz="1400" b="0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org/m</a:t>
            </a:r>
            <a:r>
              <a:rPr lang="pt-BR" sz="1400" b="0" i="0" u="none" strike="noStrike" kern="1200" spc="0" baseline="300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3</a:t>
            </a:r>
            <a:r>
              <a:rPr lang="en-US"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37570548641097284"/>
          <c:y val="3.6105730901428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55160443654221"/>
          <c:y val="0.18620241222022627"/>
          <c:w val="0.86487850309033953"/>
          <c:h val="0.548265726807550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Densidade!$B$79:$K$79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Densidade!$B$80:$K$80</c:f>
              <c:numCache>
                <c:formatCode>General</c:formatCode>
                <c:ptCount val="10"/>
                <c:pt idx="0">
                  <c:v>48950</c:v>
                </c:pt>
                <c:pt idx="1">
                  <c:v>4235</c:v>
                </c:pt>
                <c:pt idx="2">
                  <c:v>3070</c:v>
                </c:pt>
                <c:pt idx="3">
                  <c:v>1625</c:v>
                </c:pt>
                <c:pt idx="4">
                  <c:v>3570</c:v>
                </c:pt>
                <c:pt idx="5">
                  <c:v>170</c:v>
                </c:pt>
                <c:pt idx="6">
                  <c:v>15260</c:v>
                </c:pt>
                <c:pt idx="7">
                  <c:v>795</c:v>
                </c:pt>
                <c:pt idx="8">
                  <c:v>1020</c:v>
                </c:pt>
                <c:pt idx="9">
                  <c:v>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5-4DFD-9355-F593F434F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7796303"/>
        <c:axId val="1977791023"/>
      </c:barChart>
      <c:catAx>
        <c:axId val="19777963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Estações de Amostragem</a:t>
                </a:r>
              </a:p>
            </c:rich>
          </c:tx>
          <c:layout>
            <c:manualLayout>
              <c:xMode val="edge"/>
              <c:yMode val="edge"/>
              <c:x val="0.33840741681483361"/>
              <c:y val="0.878787903402345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7791023"/>
        <c:crosses val="autoZero"/>
        <c:auto val="1"/>
        <c:lblAlgn val="ctr"/>
        <c:lblOffset val="100"/>
        <c:noMultiLvlLbl val="0"/>
      </c:catAx>
      <c:valAx>
        <c:axId val="19777910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7796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Densidade Relativa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1033968264344"/>
          <c:y val="0.25345978505385608"/>
          <c:w val="0.37976432406530097"/>
          <c:h val="0.6946731223290109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C6-4795-86CA-D2BC7DA0A5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C6-4795-86CA-D2BC7DA0A5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58-4133-BD18-E4B3A5765F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658-4133-BD18-E4B3A5765F1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CC6-4795-86CA-D2BC7DA0A51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58-4133-BD18-E4B3A5765F1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CC6-4795-86CA-D2BC7DA0A517}"/>
              </c:ext>
            </c:extLst>
          </c:dPt>
          <c:dLbls>
            <c:dLbl>
              <c:idx val="2"/>
              <c:layout>
                <c:manualLayout>
                  <c:x val="-3.7863233900741658E-2"/>
                  <c:y val="-0.1062610415492952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58-4133-BD18-E4B3A5765F14}"/>
                </c:ext>
              </c:extLst>
            </c:dLbl>
            <c:dLbl>
              <c:idx val="3"/>
              <c:layout>
                <c:manualLayout>
                  <c:x val="-5.0807767286350641E-2"/>
                  <c:y val="-3.106893751708277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58-4133-BD18-E4B3A5765F14}"/>
                </c:ext>
              </c:extLst>
            </c:dLbl>
            <c:dLbl>
              <c:idx val="5"/>
              <c:layout>
                <c:manualLayout>
                  <c:x val="-1.6834928828917132E-2"/>
                  <c:y val="-3.45607963541869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58-4133-BD18-E4B3A5765F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Densidade!$J$84:$J$90</c:f>
              <c:strCache>
                <c:ptCount val="7"/>
                <c:pt idx="0">
                  <c:v>Ciliophora</c:v>
                </c:pt>
                <c:pt idx="1">
                  <c:v>Cercozoa</c:v>
                </c:pt>
                <c:pt idx="2">
                  <c:v>Amoebozoa</c:v>
                </c:pt>
                <c:pt idx="3">
                  <c:v>Rotifera</c:v>
                </c:pt>
                <c:pt idx="4">
                  <c:v>Gastrotricha</c:v>
                </c:pt>
                <c:pt idx="5">
                  <c:v>Arthropoda</c:v>
                </c:pt>
                <c:pt idx="6">
                  <c:v>Mollusca</c:v>
                </c:pt>
              </c:strCache>
            </c:strRef>
          </c:cat>
          <c:val>
            <c:numRef>
              <c:f>Densidade!$K$84:$K$90</c:f>
              <c:numCache>
                <c:formatCode>0%</c:formatCode>
                <c:ptCount val="7"/>
                <c:pt idx="0">
                  <c:v>1.0685103708359522E-3</c:v>
                </c:pt>
                <c:pt idx="1">
                  <c:v>7.3538654934003772E-3</c:v>
                </c:pt>
                <c:pt idx="2">
                  <c:v>0.41169076052796982</c:v>
                </c:pt>
                <c:pt idx="3">
                  <c:v>0.20144563167818982</c:v>
                </c:pt>
                <c:pt idx="4">
                  <c:v>3.1426775612822125E-3</c:v>
                </c:pt>
                <c:pt idx="5">
                  <c:v>0.36467630421118791</c:v>
                </c:pt>
                <c:pt idx="6">
                  <c:v>1.0622250157133879E-2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8-4133-BD18-E4B3A5765F1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737630825192494"/>
          <c:y val="0.20936012603203871"/>
          <c:w val="0.34978403633155808"/>
          <c:h val="0.745099086076471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Riqueza (S)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900075731640263E-2"/>
          <c:y val="0.18765428258368352"/>
          <c:w val="0.90711441702198292"/>
          <c:h val="0.570734330865357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Riqueza!$B$78:$K$78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Riqueza!$B$79:$K$79</c:f>
              <c:numCache>
                <c:formatCode>General</c:formatCode>
                <c:ptCount val="10"/>
                <c:pt idx="0">
                  <c:v>31</c:v>
                </c:pt>
                <c:pt idx="1">
                  <c:v>21</c:v>
                </c:pt>
                <c:pt idx="2">
                  <c:v>10</c:v>
                </c:pt>
                <c:pt idx="3">
                  <c:v>8</c:v>
                </c:pt>
                <c:pt idx="4">
                  <c:v>15</c:v>
                </c:pt>
                <c:pt idx="5">
                  <c:v>2</c:v>
                </c:pt>
                <c:pt idx="6">
                  <c:v>18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7-4037-BF4C-8AAEA6BCB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910112"/>
        <c:axId val="1176908192"/>
      </c:barChart>
      <c:catAx>
        <c:axId val="1176910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Estações de Amostragem</a:t>
                </a:r>
              </a:p>
            </c:rich>
          </c:tx>
          <c:layout>
            <c:manualLayout>
              <c:xMode val="edge"/>
              <c:yMode val="edge"/>
              <c:x val="0.35080368906455861"/>
              <c:y val="0.86744642088964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76908192"/>
        <c:crosses val="autoZero"/>
        <c:auto val="1"/>
        <c:lblAlgn val="ctr"/>
        <c:lblOffset val="100"/>
        <c:noMultiLvlLbl val="0"/>
      </c:catAx>
      <c:valAx>
        <c:axId val="1176908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7691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Riqueza Relativa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00026782366489"/>
          <c:y val="0.2424196116240494"/>
          <c:w val="0.35927837591729611"/>
          <c:h val="0.6655817363357325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51-4D7F-BA7F-296833E62B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51-4D7F-BA7F-296833E62B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51-4D7F-BA7F-296833E62B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51-4D7F-BA7F-296833E62B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51-4D7F-BA7F-296833E62B4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51-4D7F-BA7F-296833E62B4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751-4D7F-BA7F-296833E62B4A}"/>
              </c:ext>
            </c:extLst>
          </c:dPt>
          <c:dLbls>
            <c:dLbl>
              <c:idx val="1"/>
              <c:layout>
                <c:manualLayout>
                  <c:x val="1.50994697091435E-2"/>
                  <c:y val="3.86010273231765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51-4D7F-BA7F-296833E62B4A}"/>
                </c:ext>
              </c:extLst>
            </c:dLbl>
            <c:dLbl>
              <c:idx val="2"/>
              <c:layout>
                <c:manualLayout>
                  <c:x val="-5.9889656650061601E-3"/>
                  <c:y val="-1.760484693948430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51-4D7F-BA7F-296833E62B4A}"/>
                </c:ext>
              </c:extLst>
            </c:dLbl>
            <c:dLbl>
              <c:idx val="3"/>
              <c:layout>
                <c:manualLayout>
                  <c:x val="-1.7028442873212278E-2"/>
                  <c:y val="-5.75748711082920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51-4D7F-BA7F-296833E62B4A}"/>
                </c:ext>
              </c:extLst>
            </c:dLbl>
            <c:dLbl>
              <c:idx val="5"/>
              <c:layout>
                <c:manualLayout>
                  <c:x val="1.0182441480529219E-2"/>
                  <c:y val="1.9870499011059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51-4D7F-BA7F-296833E62B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Riqueza!$L$81:$L$87</c:f>
              <c:strCache>
                <c:ptCount val="7"/>
                <c:pt idx="0">
                  <c:v>Ciliophora</c:v>
                </c:pt>
                <c:pt idx="1">
                  <c:v>Cercozoa</c:v>
                </c:pt>
                <c:pt idx="2">
                  <c:v>Amoebozoa</c:v>
                </c:pt>
                <c:pt idx="3">
                  <c:v>Rotifera</c:v>
                </c:pt>
                <c:pt idx="4">
                  <c:v>Gastrotricha</c:v>
                </c:pt>
                <c:pt idx="5">
                  <c:v>Arthropoda</c:v>
                </c:pt>
                <c:pt idx="6">
                  <c:v>Mollusca</c:v>
                </c:pt>
              </c:strCache>
            </c:strRef>
          </c:cat>
          <c:val>
            <c:numRef>
              <c:f>Riqueza!$N$81:$N$87</c:f>
              <c:numCache>
                <c:formatCode>0%</c:formatCode>
                <c:ptCount val="7"/>
                <c:pt idx="0">
                  <c:v>1.4925373134328358E-2</c:v>
                </c:pt>
                <c:pt idx="1">
                  <c:v>4.4776119402985072E-2</c:v>
                </c:pt>
                <c:pt idx="2">
                  <c:v>0.44776119402985076</c:v>
                </c:pt>
                <c:pt idx="3">
                  <c:v>0.23880597014925373</c:v>
                </c:pt>
                <c:pt idx="4">
                  <c:v>1.4925373134328358E-2</c:v>
                </c:pt>
                <c:pt idx="5">
                  <c:v>0.22388059701492538</c:v>
                </c:pt>
                <c:pt idx="6">
                  <c:v>1.4925373134328358E-2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0-40C9-8C46-2A39352E250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673887192672343"/>
          <c:y val="0.19722644176325521"/>
          <c:w val="0.3304678343778456"/>
          <c:h val="0.772527817547530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Abundância Relativa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00361217224084"/>
          <c:y val="0.21799348306837232"/>
          <c:w val="0.87259374756373276"/>
          <c:h val="0.4046393181684747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'AB Relativa'!$A$2</c:f>
              <c:strCache>
                <c:ptCount val="1"/>
                <c:pt idx="0">
                  <c:v>Ciliophora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 Relativa'!$B$1:$K$1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'AB Relativa'!$B$2:$K$2</c:f>
              <c:numCache>
                <c:formatCode>General</c:formatCode>
                <c:ptCount val="10"/>
                <c:pt idx="0">
                  <c:v>0</c:v>
                </c:pt>
                <c:pt idx="1">
                  <c:v>2.0070838252656436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3-4B73-882A-3D3A38C0C944}"/>
            </c:ext>
          </c:extLst>
        </c:ser>
        <c:ser>
          <c:idx val="1"/>
          <c:order val="1"/>
          <c:tx>
            <c:strRef>
              <c:f>'AB Relativa'!$A$3</c:f>
              <c:strCache>
                <c:ptCount val="1"/>
                <c:pt idx="0">
                  <c:v>Cercozoa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 Relativa'!$B$1:$K$1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'AB Relativa'!$B$3:$K$3</c:f>
              <c:numCache>
                <c:formatCode>General</c:formatCode>
                <c:ptCount val="10"/>
                <c:pt idx="0">
                  <c:v>0.51072522982635338</c:v>
                </c:pt>
                <c:pt idx="1">
                  <c:v>0</c:v>
                </c:pt>
                <c:pt idx="2">
                  <c:v>2.768729641693811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1.6382699868938402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43-4B73-882A-3D3A38C0C944}"/>
            </c:ext>
          </c:extLst>
        </c:ser>
        <c:ser>
          <c:idx val="2"/>
          <c:order val="2"/>
          <c:tx>
            <c:strRef>
              <c:f>'AB Relativa'!$A$4</c:f>
              <c:strCache>
                <c:ptCount val="1"/>
                <c:pt idx="0">
                  <c:v>Amoebozoa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 Relativa'!$B$1:$K$1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'AB Relativa'!$B$4:$K$4</c:f>
              <c:numCache>
                <c:formatCode>General</c:formatCode>
                <c:ptCount val="10"/>
                <c:pt idx="0">
                  <c:v>10.725229826353422</c:v>
                </c:pt>
                <c:pt idx="1">
                  <c:v>78.276269185360093</c:v>
                </c:pt>
                <c:pt idx="2">
                  <c:v>96.905537459283394</c:v>
                </c:pt>
                <c:pt idx="3">
                  <c:v>68</c:v>
                </c:pt>
                <c:pt idx="4">
                  <c:v>85.714285714285708</c:v>
                </c:pt>
                <c:pt idx="5">
                  <c:v>100</c:v>
                </c:pt>
                <c:pt idx="6">
                  <c:v>96.65792922673657</c:v>
                </c:pt>
                <c:pt idx="7">
                  <c:v>64.15094339622641</c:v>
                </c:pt>
                <c:pt idx="8">
                  <c:v>91.666666666666671</c:v>
                </c:pt>
                <c:pt idx="9">
                  <c:v>79.532163742690059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43-4B73-882A-3D3A38C0C944}"/>
            </c:ext>
          </c:extLst>
        </c:ser>
        <c:ser>
          <c:idx val="3"/>
          <c:order val="3"/>
          <c:tx>
            <c:strRef>
              <c:f>'AB Relativa'!$A$5</c:f>
              <c:strCache>
                <c:ptCount val="1"/>
                <c:pt idx="0">
                  <c:v>Rotifera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 Relativa'!$B$1:$K$1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'AB Relativa'!$B$5:$K$5</c:f>
              <c:numCache>
                <c:formatCode>General</c:formatCode>
                <c:ptCount val="10"/>
                <c:pt idx="0">
                  <c:v>30.13278855975485</c:v>
                </c:pt>
                <c:pt idx="1">
                  <c:v>12.04250295159386</c:v>
                </c:pt>
                <c:pt idx="2">
                  <c:v>0</c:v>
                </c:pt>
                <c:pt idx="3">
                  <c:v>31.384615384615383</c:v>
                </c:pt>
                <c:pt idx="4">
                  <c:v>4.7619047619047619</c:v>
                </c:pt>
                <c:pt idx="5">
                  <c:v>0</c:v>
                </c:pt>
                <c:pt idx="6">
                  <c:v>0</c:v>
                </c:pt>
                <c:pt idx="7">
                  <c:v>10.691823899371069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43-4B73-882A-3D3A38C0C944}"/>
            </c:ext>
          </c:extLst>
        </c:ser>
        <c:ser>
          <c:idx val="4"/>
          <c:order val="4"/>
          <c:tx>
            <c:strRef>
              <c:f>'AB Relativa'!$A$6</c:f>
              <c:strCache>
                <c:ptCount val="1"/>
                <c:pt idx="0">
                  <c:v>Gastrotricha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'AB Relativa'!$B$1:$K$1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'AB Relativa'!$B$6:$K$6</c:f>
              <c:numCache>
                <c:formatCode>General</c:formatCode>
                <c:ptCount val="10"/>
                <c:pt idx="0">
                  <c:v>0.51072522982635338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43-4B73-882A-3D3A38C0C944}"/>
            </c:ext>
          </c:extLst>
        </c:ser>
        <c:ser>
          <c:idx val="5"/>
          <c:order val="5"/>
          <c:tx>
            <c:strRef>
              <c:f>'AB Relativa'!$A$7</c:f>
              <c:strCache>
                <c:ptCount val="1"/>
                <c:pt idx="0">
                  <c:v>Arthropoda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'AB Relativa'!$B$1:$K$1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'AB Relativa'!$B$7:$K$7</c:f>
              <c:numCache>
                <c:formatCode>General</c:formatCode>
                <c:ptCount val="10"/>
                <c:pt idx="0">
                  <c:v>58.120531154239018</c:v>
                </c:pt>
                <c:pt idx="1">
                  <c:v>7.6741440377804011</c:v>
                </c:pt>
                <c:pt idx="2">
                  <c:v>0.32573289902280128</c:v>
                </c:pt>
                <c:pt idx="3">
                  <c:v>0.61538461538461542</c:v>
                </c:pt>
                <c:pt idx="4">
                  <c:v>2.3809523809523809</c:v>
                </c:pt>
                <c:pt idx="5">
                  <c:v>0</c:v>
                </c:pt>
                <c:pt idx="6">
                  <c:v>6.5530799475753604E-2</c:v>
                </c:pt>
                <c:pt idx="7">
                  <c:v>3.7735849056603774</c:v>
                </c:pt>
                <c:pt idx="8">
                  <c:v>8.3333333333333339</c:v>
                </c:pt>
                <c:pt idx="9">
                  <c:v>0.58479532163742687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43-4B73-882A-3D3A38C0C944}"/>
            </c:ext>
          </c:extLst>
        </c:ser>
        <c:ser>
          <c:idx val="6"/>
          <c:order val="6"/>
          <c:tx>
            <c:strRef>
              <c:f>'AB Relativa'!$A$8</c:f>
              <c:strCache>
                <c:ptCount val="1"/>
                <c:pt idx="0">
                  <c:v>Mollusca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'AB Relativa'!$B$1:$K$1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'AB Relativa'!$B$8:$K$8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7.1428571428571432</c:v>
                </c:pt>
                <c:pt idx="5">
                  <c:v>0</c:v>
                </c:pt>
                <c:pt idx="6">
                  <c:v>1.6382699868938402</c:v>
                </c:pt>
                <c:pt idx="7">
                  <c:v>21.383647798742139</c:v>
                </c:pt>
                <c:pt idx="8">
                  <c:v>0</c:v>
                </c:pt>
                <c:pt idx="9">
                  <c:v>19.883040935672515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43-4B73-882A-3D3A38C0C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7196784"/>
        <c:axId val="1787209744"/>
      </c:barChart>
      <c:catAx>
        <c:axId val="1787196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Estações de Amostragem</a:t>
                </a:r>
              </a:p>
            </c:rich>
          </c:tx>
          <c:layout>
            <c:manualLayout>
              <c:xMode val="edge"/>
              <c:yMode val="edge"/>
              <c:x val="0.35975593149866175"/>
              <c:y val="0.736445075769930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7209744"/>
        <c:crosses val="autoZero"/>
        <c:auto val="1"/>
        <c:lblAlgn val="ctr"/>
        <c:lblOffset val="100"/>
        <c:noMultiLvlLbl val="0"/>
      </c:catAx>
      <c:valAx>
        <c:axId val="17872097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719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100751019983889E-2"/>
          <c:y val="0.82705994402875527"/>
          <c:w val="0.96428013825004544"/>
          <c:h val="0.15740607855544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Índices Ecológicos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IE!$A$3</c:f>
              <c:strCache>
                <c:ptCount val="1"/>
                <c:pt idx="0">
                  <c:v>Diversidade (H´)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IE!$B$1:$K$1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IE!$B$3:$K$3</c:f>
              <c:numCache>
                <c:formatCode>General</c:formatCode>
                <c:ptCount val="10"/>
                <c:pt idx="0">
                  <c:v>2.5499999999999998</c:v>
                </c:pt>
                <c:pt idx="1">
                  <c:v>2.48</c:v>
                </c:pt>
                <c:pt idx="2">
                  <c:v>1.76</c:v>
                </c:pt>
                <c:pt idx="3">
                  <c:v>1.68</c:v>
                </c:pt>
                <c:pt idx="4">
                  <c:v>2.2599999999999998</c:v>
                </c:pt>
                <c:pt idx="5">
                  <c:v>0.69</c:v>
                </c:pt>
                <c:pt idx="6">
                  <c:v>2.2999999999999998</c:v>
                </c:pt>
                <c:pt idx="7">
                  <c:v>2.02</c:v>
                </c:pt>
                <c:pt idx="8">
                  <c:v>1.81</c:v>
                </c:pt>
                <c:pt idx="9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E-444E-B4C6-12D821BC1ADD}"/>
            </c:ext>
          </c:extLst>
        </c:ser>
        <c:ser>
          <c:idx val="2"/>
          <c:order val="2"/>
          <c:tx>
            <c:strRef>
              <c:f>IE!$A$4</c:f>
              <c:strCache>
                <c:ptCount val="1"/>
                <c:pt idx="0">
                  <c:v>Equitabilidade (J´)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IE!$B$1:$K$1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IE!$B$4:$K$4</c:f>
              <c:numCache>
                <c:formatCode>General</c:formatCode>
                <c:ptCount val="10"/>
                <c:pt idx="0">
                  <c:v>0.74257702436090423</c:v>
                </c:pt>
                <c:pt idx="1">
                  <c:v>0.8145776721075666</c:v>
                </c:pt>
                <c:pt idx="2">
                  <c:v>0.76435828814972318</c:v>
                </c:pt>
                <c:pt idx="3">
                  <c:v>0.80790922289781952</c:v>
                </c:pt>
                <c:pt idx="4">
                  <c:v>0.83454878313561243</c:v>
                </c:pt>
                <c:pt idx="5">
                  <c:v>0.99545957821338471</c:v>
                </c:pt>
                <c:pt idx="6">
                  <c:v>0.79574538940074524</c:v>
                </c:pt>
                <c:pt idx="7">
                  <c:v>0.87727485344456857</c:v>
                </c:pt>
                <c:pt idx="8">
                  <c:v>0.87042600800300807</c:v>
                </c:pt>
                <c:pt idx="9">
                  <c:v>0.93299520729250818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3E-444E-B4C6-12D821BC1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87201104"/>
        <c:axId val="1787193904"/>
      </c:barChart>
      <c:lineChart>
        <c:grouping val="standard"/>
        <c:varyColors val="0"/>
        <c:ser>
          <c:idx val="0"/>
          <c:order val="0"/>
          <c:tx>
            <c:strRef>
              <c:f>IE!$A$2</c:f>
              <c:strCache>
                <c:ptCount val="1"/>
                <c:pt idx="0">
                  <c:v>Riqueza (S)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IE!$B$1:$K$1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IE!$B$2:$K$2</c:f>
              <c:numCache>
                <c:formatCode>General</c:formatCode>
                <c:ptCount val="10"/>
                <c:pt idx="0">
                  <c:v>31</c:v>
                </c:pt>
                <c:pt idx="1">
                  <c:v>21</c:v>
                </c:pt>
                <c:pt idx="2">
                  <c:v>10</c:v>
                </c:pt>
                <c:pt idx="3">
                  <c:v>8</c:v>
                </c:pt>
                <c:pt idx="4">
                  <c:v>15</c:v>
                </c:pt>
                <c:pt idx="5">
                  <c:v>2</c:v>
                </c:pt>
                <c:pt idx="6">
                  <c:v>18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E-444E-B4C6-12D821BC1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194384"/>
        <c:axId val="1787202064"/>
      </c:lineChart>
      <c:catAx>
        <c:axId val="1787201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Estações de Amostragem</a:t>
                </a:r>
              </a:p>
            </c:rich>
          </c:tx>
          <c:layout>
            <c:manualLayout>
              <c:xMode val="edge"/>
              <c:yMode val="edge"/>
              <c:x val="0.34572689569990361"/>
              <c:y val="0.79563977343716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7193904"/>
        <c:crosses val="autoZero"/>
        <c:auto val="1"/>
        <c:lblAlgn val="ctr"/>
        <c:lblOffset val="100"/>
        <c:noMultiLvlLbl val="0"/>
      </c:catAx>
      <c:valAx>
        <c:axId val="1787193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H' e J'</a:t>
                </a:r>
              </a:p>
            </c:rich>
          </c:tx>
          <c:layout>
            <c:manualLayout>
              <c:xMode val="edge"/>
              <c:yMode val="edge"/>
              <c:x val="5.4090601757944556E-3"/>
              <c:y val="0.338448715828083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7201104"/>
        <c:crosses val="autoZero"/>
        <c:crossBetween val="between"/>
      </c:valAx>
      <c:valAx>
        <c:axId val="17872020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</a:t>
                </a:r>
              </a:p>
            </c:rich>
          </c:tx>
          <c:layout>
            <c:manualLayout>
              <c:xMode val="edge"/>
              <c:yMode val="edge"/>
              <c:x val="0.94535486309647399"/>
              <c:y val="0.396026879846859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7194384"/>
        <c:crosses val="max"/>
        <c:crossBetween val="between"/>
      </c:valAx>
      <c:catAx>
        <c:axId val="1787194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87202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81</xdr:row>
      <xdr:rowOff>14287</xdr:rowOff>
    </xdr:from>
    <xdr:to>
      <xdr:col>6</xdr:col>
      <xdr:colOff>533400</xdr:colOff>
      <xdr:row>94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901A425-A13F-6706-1E46-EEA6190FE9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523875</xdr:colOff>
      <xdr:row>91</xdr:row>
      <xdr:rowOff>4762</xdr:rowOff>
    </xdr:from>
    <xdr:to>
      <xdr:col>14</xdr:col>
      <xdr:colOff>76200</xdr:colOff>
      <xdr:row>104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ED893B9-8D2A-1902-88B7-AE0C5DD826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80</xdr:row>
      <xdr:rowOff>61912</xdr:rowOff>
    </xdr:from>
    <xdr:to>
      <xdr:col>8</xdr:col>
      <xdr:colOff>638175</xdr:colOff>
      <xdr:row>93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93EB5E5-77FF-A15C-0EE6-7FA3B9D2F6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333375</xdr:colOff>
      <xdr:row>88</xdr:row>
      <xdr:rowOff>176212</xdr:rowOff>
    </xdr:from>
    <xdr:to>
      <xdr:col>16</xdr:col>
      <xdr:colOff>504825</xdr:colOff>
      <xdr:row>102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DE1F6A2-E103-116C-E41C-E9848C5206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12</xdr:row>
      <xdr:rowOff>42862</xdr:rowOff>
    </xdr:from>
    <xdr:to>
      <xdr:col>9</xdr:col>
      <xdr:colOff>9524</xdr:colOff>
      <xdr:row>25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213847B-2F0A-14EB-A145-03CD556703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600074</xdr:colOff>
      <xdr:row>20</xdr:row>
      <xdr:rowOff>176212</xdr:rowOff>
    </xdr:from>
    <xdr:to>
      <xdr:col>17</xdr:col>
      <xdr:colOff>76199</xdr:colOff>
      <xdr:row>34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FC7E6D7-85F4-7BEC-2BEA-964329830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E5DA4-01CE-4E52-A54E-9C4262A445D3}">
  <dimension ref="A1:N98"/>
  <sheetViews>
    <sheetView topLeftCell="A6" workbookViewId="0">
      <selection activeCell="G16" sqref="G16"/>
    </sheetView>
  </sheetViews>
  <sheetFormatPr defaultRowHeight="15" x14ac:dyDescent="0.25"/>
  <cols>
    <col min="1" max="1" width="30.140625" bestFit="1" customWidth="1"/>
    <col min="8" max="8" width="10" customWidth="1"/>
    <col min="9" max="9" width="9.7109375" bestFit="1" customWidth="1"/>
    <col min="10" max="10" width="14" customWidth="1"/>
    <col min="11" max="11" width="10.28515625" customWidth="1"/>
    <col min="12" max="12" width="9.140625" style="17"/>
    <col min="14" max="14" width="13.28515625" bestFit="1" customWidth="1"/>
  </cols>
  <sheetData>
    <row r="1" spans="1:14" ht="24" x14ac:dyDescent="0.25">
      <c r="A1" s="1" t="s">
        <v>11</v>
      </c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1" t="s">
        <v>86</v>
      </c>
    </row>
    <row r="2" spans="1:14" ht="15" customHeight="1" x14ac:dyDescent="0.25">
      <c r="A2" s="1" t="s">
        <v>10</v>
      </c>
      <c r="B2" s="1"/>
      <c r="C2" s="1"/>
      <c r="D2" s="2"/>
      <c r="E2" s="2"/>
      <c r="F2" s="2"/>
      <c r="G2" s="2"/>
      <c r="H2" s="2"/>
      <c r="I2" s="2"/>
      <c r="J2" s="2"/>
      <c r="K2" s="2"/>
      <c r="L2" s="15"/>
      <c r="M2" s="19" t="s">
        <v>88</v>
      </c>
      <c r="N2" s="19" t="s">
        <v>89</v>
      </c>
    </row>
    <row r="3" spans="1:14" ht="15" customHeight="1" x14ac:dyDescent="0.25">
      <c r="A3" s="4" t="s">
        <v>61</v>
      </c>
      <c r="B3" s="4">
        <v>0</v>
      </c>
      <c r="C3" s="4">
        <v>85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3">
        <v>10</v>
      </c>
      <c r="M3" s="19">
        <f>SUM(B3:K3)</f>
        <v>85</v>
      </c>
      <c r="N3" s="5">
        <v>85</v>
      </c>
    </row>
    <row r="4" spans="1:14" ht="15" customHeight="1" x14ac:dyDescent="0.25">
      <c r="A4" s="1" t="s">
        <v>12</v>
      </c>
      <c r="B4" s="1"/>
      <c r="C4" s="1"/>
      <c r="D4" s="2"/>
      <c r="E4" s="2"/>
      <c r="F4" s="2"/>
      <c r="G4" s="2"/>
      <c r="H4" s="2"/>
      <c r="I4" s="2"/>
      <c r="J4" s="2"/>
      <c r="K4" s="2"/>
      <c r="L4" s="16"/>
      <c r="M4" s="19"/>
      <c r="N4" s="19"/>
    </row>
    <row r="5" spans="1:14" ht="15" customHeight="1" x14ac:dyDescent="0.25">
      <c r="A5" s="6" t="s">
        <v>78</v>
      </c>
      <c r="B5" s="5">
        <v>0</v>
      </c>
      <c r="C5" s="5">
        <v>0</v>
      </c>
      <c r="D5" s="5">
        <v>0</v>
      </c>
      <c r="E5" s="5">
        <v>0</v>
      </c>
      <c r="F5" s="7">
        <v>0</v>
      </c>
      <c r="G5" s="7">
        <v>0</v>
      </c>
      <c r="H5" s="5">
        <v>250</v>
      </c>
      <c r="I5" s="5">
        <v>0</v>
      </c>
      <c r="J5" s="5">
        <v>0</v>
      </c>
      <c r="K5" s="5">
        <v>0</v>
      </c>
      <c r="L5" s="3">
        <v>10</v>
      </c>
      <c r="M5" s="19">
        <f t="shared" ref="M5:M67" si="0">SUM(B5:K5)</f>
        <v>250</v>
      </c>
      <c r="N5" s="19">
        <f>SUM(M5:M7)</f>
        <v>585</v>
      </c>
    </row>
    <row r="6" spans="1:14" ht="15" customHeight="1" x14ac:dyDescent="0.25">
      <c r="A6" s="6" t="s">
        <v>22</v>
      </c>
      <c r="B6" s="13">
        <v>0</v>
      </c>
      <c r="C6" s="13">
        <v>0</v>
      </c>
      <c r="D6" s="5">
        <v>85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3">
        <v>10</v>
      </c>
      <c r="M6" s="19">
        <f t="shared" si="0"/>
        <v>85</v>
      </c>
      <c r="N6" s="19"/>
    </row>
    <row r="7" spans="1:14" ht="15" customHeight="1" x14ac:dyDescent="0.25">
      <c r="A7" s="6" t="s">
        <v>23</v>
      </c>
      <c r="B7" s="13">
        <v>250</v>
      </c>
      <c r="C7" s="13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3">
        <v>10</v>
      </c>
      <c r="M7" s="19">
        <f t="shared" si="0"/>
        <v>250</v>
      </c>
      <c r="N7" s="19"/>
    </row>
    <row r="8" spans="1:14" ht="15" customHeight="1" x14ac:dyDescent="0.25">
      <c r="A8" s="1" t="s">
        <v>13</v>
      </c>
      <c r="B8" s="1"/>
      <c r="C8" s="1"/>
      <c r="D8" s="2"/>
      <c r="E8" s="2"/>
      <c r="F8" s="2"/>
      <c r="G8" s="2"/>
      <c r="H8" s="2"/>
      <c r="I8" s="2"/>
      <c r="J8" s="2"/>
      <c r="K8" s="2"/>
      <c r="L8" s="16"/>
      <c r="M8" s="19"/>
      <c r="N8" s="19"/>
    </row>
    <row r="9" spans="1:14" ht="15" customHeight="1" x14ac:dyDescent="0.25">
      <c r="A9" s="6" t="s">
        <v>24</v>
      </c>
      <c r="B9" s="13">
        <v>0</v>
      </c>
      <c r="C9" s="13">
        <v>255</v>
      </c>
      <c r="D9" s="5">
        <v>0</v>
      </c>
      <c r="E9" s="5">
        <v>0</v>
      </c>
      <c r="F9" s="5">
        <v>0</v>
      </c>
      <c r="G9" s="5">
        <v>0</v>
      </c>
      <c r="H9" s="5">
        <v>250</v>
      </c>
      <c r="I9" s="5">
        <v>0</v>
      </c>
      <c r="J9" s="5">
        <v>0</v>
      </c>
      <c r="K9" s="5">
        <v>0</v>
      </c>
      <c r="L9" s="3">
        <v>20</v>
      </c>
      <c r="M9" s="19">
        <f t="shared" si="0"/>
        <v>505</v>
      </c>
      <c r="N9" s="19">
        <f>SUM(M9:M38)</f>
        <v>32750</v>
      </c>
    </row>
    <row r="10" spans="1:14" ht="15" customHeight="1" x14ac:dyDescent="0.25">
      <c r="A10" s="6" t="s">
        <v>79</v>
      </c>
      <c r="B10" s="13">
        <v>0</v>
      </c>
      <c r="C10" s="13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85</v>
      </c>
      <c r="L10" s="3">
        <v>10</v>
      </c>
      <c r="M10" s="19">
        <f t="shared" si="0"/>
        <v>85</v>
      </c>
      <c r="N10" s="19"/>
    </row>
    <row r="11" spans="1:14" ht="15" customHeight="1" x14ac:dyDescent="0.25">
      <c r="A11" s="6" t="s">
        <v>80</v>
      </c>
      <c r="B11" s="13">
        <v>0</v>
      </c>
      <c r="C11" s="13">
        <v>0</v>
      </c>
      <c r="D11" s="5">
        <v>0</v>
      </c>
      <c r="E11" s="5">
        <v>0</v>
      </c>
      <c r="F11" s="5">
        <v>0</v>
      </c>
      <c r="G11" s="5">
        <v>0</v>
      </c>
      <c r="H11" s="5">
        <v>250</v>
      </c>
      <c r="I11" s="5">
        <v>0</v>
      </c>
      <c r="J11" s="5">
        <v>0</v>
      </c>
      <c r="K11" s="5">
        <v>0</v>
      </c>
      <c r="L11" s="3">
        <v>10</v>
      </c>
      <c r="M11" s="19">
        <f t="shared" si="0"/>
        <v>250</v>
      </c>
      <c r="N11" s="19"/>
    </row>
    <row r="12" spans="1:14" ht="15" customHeight="1" x14ac:dyDescent="0.25">
      <c r="A12" s="6" t="s">
        <v>25</v>
      </c>
      <c r="B12" s="13">
        <v>0</v>
      </c>
      <c r="C12" s="13">
        <v>85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13">
        <v>0</v>
      </c>
      <c r="J12" s="5">
        <v>0</v>
      </c>
      <c r="K12" s="5">
        <v>0</v>
      </c>
      <c r="L12" s="3">
        <v>10</v>
      </c>
      <c r="M12" s="19">
        <f t="shared" si="0"/>
        <v>85</v>
      </c>
      <c r="N12" s="19"/>
    </row>
    <row r="13" spans="1:14" ht="15" customHeight="1" x14ac:dyDescent="0.25">
      <c r="A13" s="34" t="s">
        <v>26</v>
      </c>
      <c r="B13" s="13">
        <v>250</v>
      </c>
      <c r="C13" s="13">
        <v>170</v>
      </c>
      <c r="D13" s="5">
        <v>1020</v>
      </c>
      <c r="E13" s="5">
        <v>85</v>
      </c>
      <c r="F13" s="5">
        <v>425</v>
      </c>
      <c r="G13" s="5">
        <v>85</v>
      </c>
      <c r="H13" s="5">
        <v>1000</v>
      </c>
      <c r="I13" s="5">
        <v>170</v>
      </c>
      <c r="J13" s="5">
        <v>0</v>
      </c>
      <c r="K13" s="5">
        <v>0</v>
      </c>
      <c r="L13" s="3">
        <v>80</v>
      </c>
      <c r="M13" s="19">
        <f t="shared" si="0"/>
        <v>3205</v>
      </c>
      <c r="N13" s="19"/>
    </row>
    <row r="14" spans="1:14" ht="15" customHeight="1" x14ac:dyDescent="0.25">
      <c r="A14" s="6" t="s">
        <v>27</v>
      </c>
      <c r="B14" s="13">
        <v>0</v>
      </c>
      <c r="C14" s="13">
        <v>170</v>
      </c>
      <c r="D14" s="5">
        <v>0</v>
      </c>
      <c r="E14" s="5">
        <v>0</v>
      </c>
      <c r="F14" s="5">
        <v>0</v>
      </c>
      <c r="G14" s="5">
        <v>0</v>
      </c>
      <c r="H14" s="5">
        <v>500</v>
      </c>
      <c r="I14" s="5">
        <v>0</v>
      </c>
      <c r="J14" s="5">
        <v>0</v>
      </c>
      <c r="K14" s="5">
        <v>0</v>
      </c>
      <c r="L14" s="3">
        <v>20</v>
      </c>
      <c r="M14" s="19">
        <f t="shared" si="0"/>
        <v>670</v>
      </c>
      <c r="N14" s="19"/>
    </row>
    <row r="15" spans="1:14" ht="15" customHeight="1" x14ac:dyDescent="0.25">
      <c r="A15" s="6" t="s">
        <v>81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250</v>
      </c>
      <c r="I15" s="5">
        <v>0</v>
      </c>
      <c r="J15" s="5">
        <v>85</v>
      </c>
      <c r="K15" s="5">
        <v>0</v>
      </c>
      <c r="L15" s="3">
        <v>20</v>
      </c>
      <c r="M15" s="19">
        <f t="shared" si="0"/>
        <v>335</v>
      </c>
      <c r="N15" s="19"/>
    </row>
    <row r="16" spans="1:14" ht="15" customHeight="1" x14ac:dyDescent="0.25">
      <c r="A16" s="4" t="s">
        <v>62</v>
      </c>
      <c r="B16" s="4">
        <v>0</v>
      </c>
      <c r="C16" s="4">
        <v>0</v>
      </c>
      <c r="D16" s="5">
        <v>0</v>
      </c>
      <c r="E16" s="5">
        <v>0</v>
      </c>
      <c r="F16" s="5">
        <v>255</v>
      </c>
      <c r="G16" s="5">
        <v>85</v>
      </c>
      <c r="H16" s="5">
        <v>1750</v>
      </c>
      <c r="I16" s="5">
        <v>85</v>
      </c>
      <c r="J16" s="5">
        <v>0</v>
      </c>
      <c r="K16" s="5">
        <v>85</v>
      </c>
      <c r="L16" s="3">
        <v>50</v>
      </c>
      <c r="M16" s="19">
        <f t="shared" si="0"/>
        <v>2260</v>
      </c>
      <c r="N16" s="19"/>
    </row>
    <row r="17" spans="1:14" ht="15" customHeight="1" x14ac:dyDescent="0.25">
      <c r="A17" s="34" t="s">
        <v>28</v>
      </c>
      <c r="B17" s="13">
        <v>3000</v>
      </c>
      <c r="C17" s="13">
        <v>1360</v>
      </c>
      <c r="D17" s="5">
        <v>850</v>
      </c>
      <c r="E17" s="5">
        <v>595</v>
      </c>
      <c r="F17" s="5">
        <v>1190</v>
      </c>
      <c r="G17" s="5">
        <v>0</v>
      </c>
      <c r="H17" s="5">
        <v>4500</v>
      </c>
      <c r="I17" s="5">
        <v>85</v>
      </c>
      <c r="J17" s="5">
        <v>425</v>
      </c>
      <c r="K17" s="5">
        <v>170</v>
      </c>
      <c r="L17" s="3">
        <v>90</v>
      </c>
      <c r="M17" s="19">
        <f t="shared" si="0"/>
        <v>12175</v>
      </c>
      <c r="N17" s="19"/>
    </row>
    <row r="18" spans="1:14" ht="15" customHeight="1" x14ac:dyDescent="0.25">
      <c r="A18" s="6" t="s">
        <v>29</v>
      </c>
      <c r="B18" s="13">
        <v>0</v>
      </c>
      <c r="C18" s="13">
        <v>85</v>
      </c>
      <c r="D18" s="5">
        <v>170</v>
      </c>
      <c r="E18" s="5">
        <v>170</v>
      </c>
      <c r="F18" s="5">
        <v>170</v>
      </c>
      <c r="G18" s="5">
        <v>0</v>
      </c>
      <c r="H18" s="5">
        <v>2000</v>
      </c>
      <c r="I18" s="5">
        <v>85</v>
      </c>
      <c r="J18" s="5">
        <v>0</v>
      </c>
      <c r="K18" s="5">
        <v>85</v>
      </c>
      <c r="L18" s="3">
        <v>70</v>
      </c>
      <c r="M18" s="19">
        <f t="shared" si="0"/>
        <v>2765</v>
      </c>
      <c r="N18" s="19"/>
    </row>
    <row r="19" spans="1:14" ht="15" customHeight="1" x14ac:dyDescent="0.25">
      <c r="A19" s="6" t="s">
        <v>30</v>
      </c>
      <c r="B19" s="13">
        <v>0</v>
      </c>
      <c r="C19" s="13">
        <v>85</v>
      </c>
      <c r="D19" s="5">
        <v>0</v>
      </c>
      <c r="E19" s="5">
        <v>0</v>
      </c>
      <c r="F19" s="5">
        <v>0</v>
      </c>
      <c r="G19" s="5">
        <v>0</v>
      </c>
      <c r="H19" s="5">
        <v>250</v>
      </c>
      <c r="I19" s="5">
        <v>0</v>
      </c>
      <c r="J19" s="5">
        <v>0</v>
      </c>
      <c r="K19" s="5">
        <v>0</v>
      </c>
      <c r="L19" s="3">
        <v>20</v>
      </c>
      <c r="M19" s="19">
        <f t="shared" si="0"/>
        <v>335</v>
      </c>
      <c r="N19" s="19"/>
    </row>
    <row r="20" spans="1:14" ht="15" customHeight="1" x14ac:dyDescent="0.25">
      <c r="A20" s="6" t="s">
        <v>74</v>
      </c>
      <c r="B20" s="13">
        <v>0</v>
      </c>
      <c r="C20" s="13">
        <v>0</v>
      </c>
      <c r="D20" s="5">
        <v>0</v>
      </c>
      <c r="E20" s="5">
        <v>0</v>
      </c>
      <c r="F20" s="5">
        <v>0</v>
      </c>
      <c r="G20" s="5">
        <v>0</v>
      </c>
      <c r="H20" s="5">
        <v>1000</v>
      </c>
      <c r="I20" s="5">
        <v>0</v>
      </c>
      <c r="J20" s="5">
        <v>85</v>
      </c>
      <c r="K20" s="5">
        <v>0</v>
      </c>
      <c r="L20" s="3">
        <v>20</v>
      </c>
      <c r="M20" s="19">
        <f t="shared" si="0"/>
        <v>1085</v>
      </c>
      <c r="N20" s="19"/>
    </row>
    <row r="21" spans="1:14" ht="15" customHeight="1" x14ac:dyDescent="0.25">
      <c r="A21" s="6" t="s">
        <v>75</v>
      </c>
      <c r="B21" s="13">
        <v>0</v>
      </c>
      <c r="C21" s="13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85</v>
      </c>
      <c r="J21" s="5">
        <v>0</v>
      </c>
      <c r="K21" s="5">
        <v>0</v>
      </c>
      <c r="L21" s="3">
        <v>10</v>
      </c>
      <c r="M21" s="19">
        <f t="shared" si="0"/>
        <v>85</v>
      </c>
      <c r="N21" s="19"/>
    </row>
    <row r="22" spans="1:14" x14ac:dyDescent="0.25">
      <c r="A22" s="4" t="s">
        <v>63</v>
      </c>
      <c r="B22" s="13">
        <v>0</v>
      </c>
      <c r="C22" s="13">
        <v>0</v>
      </c>
      <c r="D22" s="5">
        <v>0</v>
      </c>
      <c r="E22" s="5">
        <v>0</v>
      </c>
      <c r="F22" s="5">
        <v>85</v>
      </c>
      <c r="G22" s="5">
        <v>0</v>
      </c>
      <c r="H22" s="8">
        <v>0</v>
      </c>
      <c r="I22" s="13">
        <v>0</v>
      </c>
      <c r="J22" s="8">
        <v>0</v>
      </c>
      <c r="K22" s="8">
        <v>0</v>
      </c>
      <c r="L22" s="3">
        <v>10</v>
      </c>
      <c r="M22" s="19">
        <f t="shared" si="0"/>
        <v>85</v>
      </c>
      <c r="N22" s="19"/>
    </row>
    <row r="23" spans="1:14" x14ac:dyDescent="0.25">
      <c r="A23" s="6" t="s">
        <v>31</v>
      </c>
      <c r="B23" s="13">
        <v>250</v>
      </c>
      <c r="C23" s="13">
        <v>85</v>
      </c>
      <c r="D23" s="5">
        <v>0</v>
      </c>
      <c r="E23" s="5">
        <v>0</v>
      </c>
      <c r="F23" s="5">
        <v>0</v>
      </c>
      <c r="G23" s="5">
        <v>0</v>
      </c>
      <c r="H23" s="8">
        <v>0</v>
      </c>
      <c r="I23" s="13">
        <v>0</v>
      </c>
      <c r="J23" s="8">
        <v>0</v>
      </c>
      <c r="K23" s="8">
        <v>0</v>
      </c>
      <c r="L23" s="3">
        <v>20</v>
      </c>
      <c r="M23" s="19">
        <f t="shared" si="0"/>
        <v>335</v>
      </c>
      <c r="N23" s="19"/>
    </row>
    <row r="24" spans="1:14" x14ac:dyDescent="0.25">
      <c r="A24" s="6" t="s">
        <v>32</v>
      </c>
      <c r="B24" s="13">
        <v>0</v>
      </c>
      <c r="C24" s="13">
        <v>595</v>
      </c>
      <c r="D24" s="5">
        <v>85</v>
      </c>
      <c r="E24" s="5">
        <v>0</v>
      </c>
      <c r="F24" s="5">
        <v>85</v>
      </c>
      <c r="G24" s="5">
        <v>0</v>
      </c>
      <c r="H24" s="8">
        <v>0</v>
      </c>
      <c r="I24" s="13">
        <v>0</v>
      </c>
      <c r="J24" s="8">
        <v>0</v>
      </c>
      <c r="K24" s="8">
        <v>0</v>
      </c>
      <c r="L24" s="3">
        <v>30</v>
      </c>
      <c r="M24" s="19">
        <f t="shared" si="0"/>
        <v>765</v>
      </c>
      <c r="N24" s="19"/>
    </row>
    <row r="25" spans="1:14" x14ac:dyDescent="0.25">
      <c r="A25" s="6" t="s">
        <v>33</v>
      </c>
      <c r="B25" s="13">
        <v>0</v>
      </c>
      <c r="C25" s="13">
        <v>0</v>
      </c>
      <c r="D25" s="5">
        <v>0</v>
      </c>
      <c r="E25" s="5">
        <v>0</v>
      </c>
      <c r="F25" s="5">
        <v>85</v>
      </c>
      <c r="G25" s="5">
        <v>0</v>
      </c>
      <c r="H25" s="5">
        <v>0</v>
      </c>
      <c r="I25" s="5">
        <v>0</v>
      </c>
      <c r="J25" s="5">
        <v>85</v>
      </c>
      <c r="K25" s="5">
        <v>0</v>
      </c>
      <c r="L25" s="3">
        <v>20</v>
      </c>
      <c r="M25" s="19">
        <f t="shared" si="0"/>
        <v>170</v>
      </c>
      <c r="N25" s="19"/>
    </row>
    <row r="26" spans="1:14" x14ac:dyDescent="0.25">
      <c r="A26" s="6" t="s">
        <v>82</v>
      </c>
      <c r="B26" s="13">
        <v>0</v>
      </c>
      <c r="C26" s="13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85</v>
      </c>
      <c r="K26" s="5">
        <v>0</v>
      </c>
      <c r="L26" s="3">
        <v>10</v>
      </c>
      <c r="M26" s="19">
        <f t="shared" si="0"/>
        <v>85</v>
      </c>
      <c r="N26" s="19"/>
    </row>
    <row r="27" spans="1:14" x14ac:dyDescent="0.25">
      <c r="A27" s="6" t="s">
        <v>34</v>
      </c>
      <c r="B27" s="13">
        <v>0</v>
      </c>
      <c r="C27" s="13">
        <v>170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85</v>
      </c>
      <c r="L27" s="3">
        <v>20</v>
      </c>
      <c r="M27" s="19">
        <f t="shared" si="0"/>
        <v>255</v>
      </c>
      <c r="N27" s="19"/>
    </row>
    <row r="28" spans="1:14" x14ac:dyDescent="0.25">
      <c r="A28" s="6" t="s">
        <v>35</v>
      </c>
      <c r="B28" s="13">
        <v>1250</v>
      </c>
      <c r="C28" s="13">
        <v>85</v>
      </c>
      <c r="D28" s="5">
        <v>170</v>
      </c>
      <c r="E28" s="5">
        <v>0</v>
      </c>
      <c r="F28" s="5">
        <v>85</v>
      </c>
      <c r="G28" s="5">
        <v>0</v>
      </c>
      <c r="H28" s="5">
        <v>1250</v>
      </c>
      <c r="I28" s="5">
        <v>0</v>
      </c>
      <c r="J28" s="5">
        <v>85</v>
      </c>
      <c r="K28" s="5">
        <v>0</v>
      </c>
      <c r="L28" s="3">
        <v>60</v>
      </c>
      <c r="M28" s="19">
        <f t="shared" si="0"/>
        <v>2925</v>
      </c>
      <c r="N28" s="19"/>
    </row>
    <row r="29" spans="1:14" x14ac:dyDescent="0.25">
      <c r="A29" s="6" t="s">
        <v>36</v>
      </c>
      <c r="B29" s="13">
        <v>500</v>
      </c>
      <c r="C29" s="13">
        <v>0</v>
      </c>
      <c r="D29" s="5">
        <v>0</v>
      </c>
      <c r="E29" s="5">
        <v>0</v>
      </c>
      <c r="F29" s="5">
        <v>0</v>
      </c>
      <c r="G29" s="5">
        <v>0</v>
      </c>
      <c r="H29" s="8">
        <v>0</v>
      </c>
      <c r="I29" s="8">
        <v>0</v>
      </c>
      <c r="J29" s="8">
        <v>0</v>
      </c>
      <c r="K29" s="8">
        <v>0</v>
      </c>
      <c r="L29" s="3">
        <v>10</v>
      </c>
      <c r="M29" s="19">
        <f t="shared" si="0"/>
        <v>500</v>
      </c>
      <c r="N29" s="19"/>
    </row>
    <row r="30" spans="1:14" x14ac:dyDescent="0.25">
      <c r="A30" s="6" t="s">
        <v>37</v>
      </c>
      <c r="B30" s="13">
        <v>0</v>
      </c>
      <c r="C30" s="13">
        <v>85</v>
      </c>
      <c r="D30" s="5">
        <v>0</v>
      </c>
      <c r="E30" s="5">
        <v>0</v>
      </c>
      <c r="F30" s="5">
        <v>0</v>
      </c>
      <c r="G30" s="5">
        <v>0</v>
      </c>
      <c r="H30" s="8">
        <v>0</v>
      </c>
      <c r="I30" s="8">
        <v>0</v>
      </c>
      <c r="J30" s="8">
        <v>0</v>
      </c>
      <c r="K30" s="8">
        <v>0</v>
      </c>
      <c r="L30" s="3">
        <v>10</v>
      </c>
      <c r="M30" s="19">
        <f t="shared" si="0"/>
        <v>85</v>
      </c>
      <c r="N30" s="19"/>
    </row>
    <row r="31" spans="1:14" x14ac:dyDescent="0.25">
      <c r="A31" s="6" t="s">
        <v>38</v>
      </c>
      <c r="B31" s="13">
        <v>0</v>
      </c>
      <c r="C31" s="13">
        <v>0</v>
      </c>
      <c r="D31" s="5">
        <v>510</v>
      </c>
      <c r="E31" s="5">
        <v>0</v>
      </c>
      <c r="F31" s="5">
        <v>0</v>
      </c>
      <c r="G31" s="5">
        <v>0</v>
      </c>
      <c r="H31" s="8">
        <v>0</v>
      </c>
      <c r="I31" s="13">
        <v>0</v>
      </c>
      <c r="J31" s="8">
        <v>0</v>
      </c>
      <c r="K31" s="8">
        <v>0</v>
      </c>
      <c r="L31" s="3">
        <v>10</v>
      </c>
      <c r="M31" s="19">
        <f t="shared" si="0"/>
        <v>510</v>
      </c>
      <c r="N31" s="19"/>
    </row>
    <row r="32" spans="1:14" x14ac:dyDescent="0.25">
      <c r="A32" s="6" t="s">
        <v>83</v>
      </c>
      <c r="B32" s="13">
        <v>0</v>
      </c>
      <c r="C32" s="13">
        <v>0</v>
      </c>
      <c r="D32" s="5">
        <v>0</v>
      </c>
      <c r="E32" s="5">
        <v>0</v>
      </c>
      <c r="F32" s="5">
        <v>0</v>
      </c>
      <c r="G32" s="5">
        <v>0</v>
      </c>
      <c r="H32" s="5">
        <v>250</v>
      </c>
      <c r="I32" s="5">
        <v>0</v>
      </c>
      <c r="J32" s="5">
        <v>0</v>
      </c>
      <c r="K32" s="5">
        <v>0</v>
      </c>
      <c r="L32" s="3">
        <v>10</v>
      </c>
      <c r="M32" s="19">
        <f t="shared" si="0"/>
        <v>250</v>
      </c>
      <c r="N32" s="19"/>
    </row>
    <row r="33" spans="1:14" x14ac:dyDescent="0.25">
      <c r="A33" s="6" t="s">
        <v>39</v>
      </c>
      <c r="B33" s="13">
        <v>0</v>
      </c>
      <c r="C33" s="13">
        <v>0</v>
      </c>
      <c r="D33" s="5">
        <v>0</v>
      </c>
      <c r="E33" s="5">
        <v>85</v>
      </c>
      <c r="F33" s="5">
        <v>0</v>
      </c>
      <c r="G33" s="5">
        <v>0</v>
      </c>
      <c r="H33" s="8">
        <v>0</v>
      </c>
      <c r="I33" s="13">
        <v>0</v>
      </c>
      <c r="J33" s="8">
        <v>0</v>
      </c>
      <c r="K33" s="8">
        <v>0</v>
      </c>
      <c r="L33" s="3">
        <v>10</v>
      </c>
      <c r="M33" s="19">
        <f t="shared" si="0"/>
        <v>85</v>
      </c>
      <c r="N33" s="19"/>
    </row>
    <row r="34" spans="1:14" x14ac:dyDescent="0.25">
      <c r="A34" s="6" t="s">
        <v>40</v>
      </c>
      <c r="B34" s="13">
        <v>0</v>
      </c>
      <c r="C34" s="13">
        <v>0</v>
      </c>
      <c r="D34" s="5">
        <v>0</v>
      </c>
      <c r="E34" s="5">
        <v>0</v>
      </c>
      <c r="F34" s="5">
        <v>255</v>
      </c>
      <c r="G34" s="5">
        <v>0</v>
      </c>
      <c r="H34" s="8">
        <v>0</v>
      </c>
      <c r="I34" s="13">
        <v>0</v>
      </c>
      <c r="J34" s="8">
        <v>0</v>
      </c>
      <c r="K34" s="8">
        <v>0</v>
      </c>
      <c r="L34" s="3">
        <v>10</v>
      </c>
      <c r="M34" s="19">
        <f t="shared" si="0"/>
        <v>255</v>
      </c>
      <c r="N34" s="19"/>
    </row>
    <row r="35" spans="1:14" x14ac:dyDescent="0.25">
      <c r="A35" s="6" t="s">
        <v>41</v>
      </c>
      <c r="B35" s="13">
        <v>0</v>
      </c>
      <c r="C35" s="13">
        <v>0</v>
      </c>
      <c r="D35" s="5">
        <v>85</v>
      </c>
      <c r="E35" s="5">
        <v>0</v>
      </c>
      <c r="F35" s="5">
        <v>340</v>
      </c>
      <c r="G35" s="5">
        <v>0</v>
      </c>
      <c r="H35" s="5">
        <v>1250</v>
      </c>
      <c r="I35" s="5">
        <v>0</v>
      </c>
      <c r="J35" s="5">
        <v>85</v>
      </c>
      <c r="K35" s="5">
        <v>85</v>
      </c>
      <c r="L35" s="3">
        <v>50</v>
      </c>
      <c r="M35" s="19">
        <f t="shared" si="0"/>
        <v>1845</v>
      </c>
      <c r="N35" s="19"/>
    </row>
    <row r="36" spans="1:14" x14ac:dyDescent="0.25">
      <c r="A36" s="8" t="s">
        <v>64</v>
      </c>
      <c r="B36" s="4">
        <v>0</v>
      </c>
      <c r="C36" s="13">
        <v>85</v>
      </c>
      <c r="D36" s="5">
        <v>85</v>
      </c>
      <c r="E36" s="5">
        <v>0</v>
      </c>
      <c r="F36" s="5">
        <v>85</v>
      </c>
      <c r="G36" s="5">
        <v>0</v>
      </c>
      <c r="H36" s="8">
        <v>0</v>
      </c>
      <c r="I36" s="8">
        <v>0</v>
      </c>
      <c r="J36" s="8">
        <v>0</v>
      </c>
      <c r="K36" s="8">
        <v>0</v>
      </c>
      <c r="L36" s="3">
        <v>30</v>
      </c>
      <c r="M36" s="19">
        <f t="shared" si="0"/>
        <v>255</v>
      </c>
      <c r="N36" s="19"/>
    </row>
    <row r="37" spans="1:14" x14ac:dyDescent="0.25">
      <c r="A37" s="6" t="s">
        <v>42</v>
      </c>
      <c r="B37" s="13">
        <v>0</v>
      </c>
      <c r="C37" s="13">
        <v>0</v>
      </c>
      <c r="D37" s="5">
        <v>0</v>
      </c>
      <c r="E37" s="5">
        <v>170</v>
      </c>
      <c r="F37" s="5">
        <v>0</v>
      </c>
      <c r="G37" s="5">
        <v>0</v>
      </c>
      <c r="H37" s="5">
        <v>250</v>
      </c>
      <c r="I37" s="5">
        <v>0</v>
      </c>
      <c r="J37" s="5">
        <v>0</v>
      </c>
      <c r="K37" s="5">
        <v>0</v>
      </c>
      <c r="L37" s="3">
        <v>20</v>
      </c>
      <c r="M37" s="19">
        <f t="shared" si="0"/>
        <v>420</v>
      </c>
      <c r="N37" s="19"/>
    </row>
    <row r="38" spans="1:14" x14ac:dyDescent="0.25">
      <c r="A38" s="4" t="s">
        <v>84</v>
      </c>
      <c r="B38" s="13">
        <v>0</v>
      </c>
      <c r="C38" s="13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85</v>
      </c>
      <c r="L38" s="3">
        <v>10</v>
      </c>
      <c r="M38" s="19">
        <f t="shared" si="0"/>
        <v>85</v>
      </c>
      <c r="N38" s="19"/>
    </row>
    <row r="39" spans="1:14" x14ac:dyDescent="0.25">
      <c r="A39" s="1" t="s">
        <v>14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6"/>
      <c r="M39" s="19"/>
      <c r="N39" s="19"/>
    </row>
    <row r="40" spans="1:14" x14ac:dyDescent="0.25">
      <c r="A40" s="7" t="s">
        <v>20</v>
      </c>
      <c r="B40" s="7">
        <v>250</v>
      </c>
      <c r="C40" s="7">
        <v>0</v>
      </c>
      <c r="D40" s="11">
        <v>0</v>
      </c>
      <c r="E40" s="11">
        <v>0</v>
      </c>
      <c r="F40" s="11">
        <v>0</v>
      </c>
      <c r="G40" s="11">
        <v>0</v>
      </c>
      <c r="H40" s="12">
        <v>0</v>
      </c>
      <c r="I40" s="12">
        <v>0</v>
      </c>
      <c r="J40" s="12">
        <v>0</v>
      </c>
      <c r="K40" s="12">
        <v>0</v>
      </c>
      <c r="L40" s="3">
        <v>10</v>
      </c>
      <c r="M40" s="19">
        <f t="shared" si="0"/>
        <v>250</v>
      </c>
      <c r="N40" s="19">
        <f>SUM(M40:M55)</f>
        <v>16025</v>
      </c>
    </row>
    <row r="41" spans="1:14" x14ac:dyDescent="0.25">
      <c r="A41" s="13" t="s">
        <v>76</v>
      </c>
      <c r="B41" s="7">
        <v>0</v>
      </c>
      <c r="C41" s="7">
        <v>0</v>
      </c>
      <c r="D41" s="11">
        <v>0</v>
      </c>
      <c r="E41" s="11">
        <v>0</v>
      </c>
      <c r="F41" s="11">
        <v>0</v>
      </c>
      <c r="G41" s="11">
        <v>0</v>
      </c>
      <c r="H41" s="5">
        <v>0</v>
      </c>
      <c r="I41" s="5">
        <v>85</v>
      </c>
      <c r="J41" s="5">
        <v>0</v>
      </c>
      <c r="K41" s="5">
        <v>0</v>
      </c>
      <c r="L41" s="3">
        <v>10</v>
      </c>
      <c r="M41" s="19">
        <f t="shared" si="0"/>
        <v>85</v>
      </c>
      <c r="N41" s="19"/>
    </row>
    <row r="42" spans="1:14" x14ac:dyDescent="0.25">
      <c r="A42" s="10" t="s">
        <v>19</v>
      </c>
      <c r="B42" s="13">
        <v>5000</v>
      </c>
      <c r="C42" s="13">
        <v>85</v>
      </c>
      <c r="D42" s="5">
        <v>0</v>
      </c>
      <c r="E42" s="5">
        <v>0</v>
      </c>
      <c r="F42" s="5">
        <v>0</v>
      </c>
      <c r="G42" s="5">
        <v>0</v>
      </c>
      <c r="H42" s="12">
        <v>0</v>
      </c>
      <c r="I42" s="12">
        <v>0</v>
      </c>
      <c r="J42" s="12">
        <v>0</v>
      </c>
      <c r="K42" s="12">
        <v>0</v>
      </c>
      <c r="L42" s="3">
        <v>20</v>
      </c>
      <c r="M42" s="19">
        <f t="shared" si="0"/>
        <v>5085</v>
      </c>
      <c r="N42" s="19"/>
    </row>
    <row r="43" spans="1:14" x14ac:dyDescent="0.25">
      <c r="A43" s="6" t="s">
        <v>43</v>
      </c>
      <c r="B43" s="13">
        <v>750</v>
      </c>
      <c r="C43" s="13">
        <v>340</v>
      </c>
      <c r="D43" s="5">
        <v>0</v>
      </c>
      <c r="E43" s="5">
        <v>0</v>
      </c>
      <c r="F43" s="5">
        <v>0</v>
      </c>
      <c r="G43" s="5">
        <v>0</v>
      </c>
      <c r="H43" s="8">
        <v>0</v>
      </c>
      <c r="I43" s="8">
        <v>0</v>
      </c>
      <c r="J43" s="8">
        <v>0</v>
      </c>
      <c r="K43" s="8">
        <v>0</v>
      </c>
      <c r="L43" s="3">
        <v>20</v>
      </c>
      <c r="M43" s="19">
        <f t="shared" si="0"/>
        <v>1090</v>
      </c>
      <c r="N43" s="19"/>
    </row>
    <row r="44" spans="1:14" x14ac:dyDescent="0.25">
      <c r="A44" s="6" t="s">
        <v>44</v>
      </c>
      <c r="B44" s="13">
        <v>250</v>
      </c>
      <c r="C44" s="13">
        <v>0</v>
      </c>
      <c r="D44" s="5">
        <v>0</v>
      </c>
      <c r="E44" s="5">
        <v>0</v>
      </c>
      <c r="F44" s="5">
        <v>0</v>
      </c>
      <c r="G44" s="5">
        <v>0</v>
      </c>
      <c r="H44" s="8">
        <v>0</v>
      </c>
      <c r="I44" s="8">
        <v>0</v>
      </c>
      <c r="J44" s="8">
        <v>0</v>
      </c>
      <c r="K44" s="8">
        <v>0</v>
      </c>
      <c r="L44" s="3">
        <v>10</v>
      </c>
      <c r="M44" s="19">
        <f t="shared" si="0"/>
        <v>250</v>
      </c>
      <c r="N44" s="19"/>
    </row>
    <row r="45" spans="1:14" x14ac:dyDescent="0.25">
      <c r="A45" s="6" t="s">
        <v>45</v>
      </c>
      <c r="B45" s="13">
        <v>500</v>
      </c>
      <c r="C45" s="13">
        <v>0</v>
      </c>
      <c r="D45" s="5">
        <v>0</v>
      </c>
      <c r="E45" s="5">
        <v>0</v>
      </c>
      <c r="F45" s="5">
        <v>85</v>
      </c>
      <c r="G45" s="5">
        <v>0</v>
      </c>
      <c r="H45" s="8">
        <v>0</v>
      </c>
      <c r="I45" s="8">
        <v>0</v>
      </c>
      <c r="J45" s="8">
        <v>0</v>
      </c>
      <c r="K45" s="8">
        <v>0</v>
      </c>
      <c r="L45" s="3">
        <v>20</v>
      </c>
      <c r="M45" s="19">
        <f t="shared" si="0"/>
        <v>585</v>
      </c>
      <c r="N45" s="19"/>
    </row>
    <row r="46" spans="1:14" x14ac:dyDescent="0.25">
      <c r="A46" s="6" t="s">
        <v>46</v>
      </c>
      <c r="B46" s="13">
        <v>1250</v>
      </c>
      <c r="C46" s="13">
        <v>0</v>
      </c>
      <c r="D46" s="5">
        <v>0</v>
      </c>
      <c r="E46" s="5">
        <v>0</v>
      </c>
      <c r="F46" s="5">
        <v>0</v>
      </c>
      <c r="G46" s="5">
        <v>0</v>
      </c>
      <c r="H46" s="8">
        <v>0</v>
      </c>
      <c r="I46" s="8">
        <v>0</v>
      </c>
      <c r="J46" s="8">
        <v>0</v>
      </c>
      <c r="K46" s="8">
        <v>0</v>
      </c>
      <c r="L46" s="3">
        <v>10</v>
      </c>
      <c r="M46" s="19">
        <f t="shared" si="0"/>
        <v>1250</v>
      </c>
      <c r="N46" s="19"/>
    </row>
    <row r="47" spans="1:14" x14ac:dyDescent="0.25">
      <c r="A47" s="4" t="s">
        <v>65</v>
      </c>
      <c r="B47" s="13">
        <v>250</v>
      </c>
      <c r="C47" s="13">
        <v>0</v>
      </c>
      <c r="D47" s="5">
        <v>0</v>
      </c>
      <c r="E47" s="5">
        <v>0</v>
      </c>
      <c r="F47" s="5">
        <v>0</v>
      </c>
      <c r="G47" s="5">
        <v>0</v>
      </c>
      <c r="H47" s="8">
        <v>0</v>
      </c>
      <c r="I47" s="8">
        <v>0</v>
      </c>
      <c r="J47" s="8">
        <v>0</v>
      </c>
      <c r="K47" s="8">
        <v>0</v>
      </c>
      <c r="L47" s="3">
        <v>10</v>
      </c>
      <c r="M47" s="19">
        <f t="shared" si="0"/>
        <v>250</v>
      </c>
      <c r="N47" s="19"/>
    </row>
    <row r="48" spans="1:14" x14ac:dyDescent="0.25">
      <c r="A48" s="6" t="s">
        <v>47</v>
      </c>
      <c r="B48" s="13">
        <v>250</v>
      </c>
      <c r="C48" s="13">
        <v>0</v>
      </c>
      <c r="D48" s="5">
        <v>0</v>
      </c>
      <c r="E48" s="5">
        <v>0</v>
      </c>
      <c r="F48" s="5">
        <v>0</v>
      </c>
      <c r="G48" s="5">
        <v>0</v>
      </c>
      <c r="H48" s="8">
        <v>0</v>
      </c>
      <c r="I48" s="8">
        <v>0</v>
      </c>
      <c r="J48" s="8">
        <v>0</v>
      </c>
      <c r="K48" s="8">
        <v>0</v>
      </c>
      <c r="L48" s="3">
        <v>10</v>
      </c>
      <c r="M48" s="19">
        <f t="shared" si="0"/>
        <v>250</v>
      </c>
      <c r="N48" s="19"/>
    </row>
    <row r="49" spans="1:14" x14ac:dyDescent="0.25">
      <c r="A49" s="4" t="s">
        <v>66</v>
      </c>
      <c r="B49" s="13">
        <v>250</v>
      </c>
      <c r="C49" s="13">
        <v>0</v>
      </c>
      <c r="D49" s="5">
        <v>0</v>
      </c>
      <c r="E49" s="5">
        <v>0</v>
      </c>
      <c r="F49" s="5">
        <v>0</v>
      </c>
      <c r="G49" s="5">
        <v>0</v>
      </c>
      <c r="H49" s="8">
        <v>0</v>
      </c>
      <c r="I49" s="8">
        <v>0</v>
      </c>
      <c r="J49" s="8">
        <v>0</v>
      </c>
      <c r="K49" s="8">
        <v>0</v>
      </c>
      <c r="L49" s="3">
        <v>10</v>
      </c>
      <c r="M49" s="19">
        <f t="shared" si="0"/>
        <v>250</v>
      </c>
      <c r="N49" s="19"/>
    </row>
    <row r="50" spans="1:14" x14ac:dyDescent="0.25">
      <c r="A50" s="6" t="s">
        <v>48</v>
      </c>
      <c r="B50" s="13">
        <v>250</v>
      </c>
      <c r="C50" s="13">
        <v>0</v>
      </c>
      <c r="D50" s="5">
        <v>0</v>
      </c>
      <c r="E50" s="5">
        <v>0</v>
      </c>
      <c r="F50" s="5">
        <v>0</v>
      </c>
      <c r="G50" s="5">
        <v>0</v>
      </c>
      <c r="H50" s="8">
        <v>0</v>
      </c>
      <c r="I50" s="8">
        <v>0</v>
      </c>
      <c r="J50" s="8">
        <v>0</v>
      </c>
      <c r="K50" s="8">
        <v>0</v>
      </c>
      <c r="L50" s="3">
        <v>10</v>
      </c>
      <c r="M50" s="19">
        <f t="shared" si="0"/>
        <v>250</v>
      </c>
      <c r="N50" s="19"/>
    </row>
    <row r="51" spans="1:14" x14ac:dyDescent="0.25">
      <c r="A51" s="6" t="s">
        <v>49</v>
      </c>
      <c r="B51" s="13">
        <v>0</v>
      </c>
      <c r="C51" s="13">
        <v>0</v>
      </c>
      <c r="D51" s="5">
        <v>0</v>
      </c>
      <c r="E51" s="5">
        <v>85</v>
      </c>
      <c r="F51" s="5">
        <v>0</v>
      </c>
      <c r="G51" s="5">
        <v>0</v>
      </c>
      <c r="H51" s="8">
        <v>0</v>
      </c>
      <c r="I51" s="8">
        <v>0</v>
      </c>
      <c r="J51" s="8">
        <v>0</v>
      </c>
      <c r="K51" s="8">
        <v>0</v>
      </c>
      <c r="L51" s="3">
        <v>10</v>
      </c>
      <c r="M51" s="19">
        <f t="shared" si="0"/>
        <v>85</v>
      </c>
      <c r="N51" s="19"/>
    </row>
    <row r="52" spans="1:14" x14ac:dyDescent="0.25">
      <c r="A52" s="6" t="s">
        <v>50</v>
      </c>
      <c r="B52" s="13">
        <v>0</v>
      </c>
      <c r="C52" s="13">
        <v>0</v>
      </c>
      <c r="D52" s="5">
        <v>0</v>
      </c>
      <c r="E52" s="5">
        <v>425</v>
      </c>
      <c r="F52" s="5">
        <v>85</v>
      </c>
      <c r="G52" s="5">
        <v>0</v>
      </c>
      <c r="H52" s="8">
        <v>0</v>
      </c>
      <c r="I52" s="8">
        <v>0</v>
      </c>
      <c r="J52" s="8">
        <v>0</v>
      </c>
      <c r="K52" s="8">
        <v>0</v>
      </c>
      <c r="L52" s="3">
        <v>20</v>
      </c>
      <c r="M52" s="19">
        <f t="shared" si="0"/>
        <v>510</v>
      </c>
      <c r="N52" s="19"/>
    </row>
    <row r="53" spans="1:14" x14ac:dyDescent="0.25">
      <c r="A53" s="6" t="s">
        <v>51</v>
      </c>
      <c r="B53" s="13">
        <v>250</v>
      </c>
      <c r="C53" s="13">
        <v>0</v>
      </c>
      <c r="D53" s="5">
        <v>0</v>
      </c>
      <c r="E53" s="5">
        <v>0</v>
      </c>
      <c r="F53" s="5">
        <v>0</v>
      </c>
      <c r="G53" s="5">
        <v>0</v>
      </c>
      <c r="H53" s="8">
        <v>0</v>
      </c>
      <c r="I53" s="8">
        <v>0</v>
      </c>
      <c r="J53" s="8">
        <v>0</v>
      </c>
      <c r="K53" s="8">
        <v>0</v>
      </c>
      <c r="L53" s="3">
        <v>10</v>
      </c>
      <c r="M53" s="19">
        <f t="shared" si="0"/>
        <v>250</v>
      </c>
      <c r="N53" s="19"/>
    </row>
    <row r="54" spans="1:14" x14ac:dyDescent="0.25">
      <c r="A54" s="6" t="s">
        <v>52</v>
      </c>
      <c r="B54" s="13">
        <v>5000</v>
      </c>
      <c r="C54" s="13">
        <v>85</v>
      </c>
      <c r="D54" s="5">
        <v>0</v>
      </c>
      <c r="E54" s="5">
        <v>0</v>
      </c>
      <c r="F54" s="5">
        <v>0</v>
      </c>
      <c r="G54" s="5">
        <v>0</v>
      </c>
      <c r="H54" s="8">
        <v>0</v>
      </c>
      <c r="I54" s="8">
        <v>0</v>
      </c>
      <c r="J54" s="8">
        <v>0</v>
      </c>
      <c r="K54" s="8">
        <v>0</v>
      </c>
      <c r="L54" s="3">
        <v>20</v>
      </c>
      <c r="M54" s="19">
        <f t="shared" si="0"/>
        <v>5085</v>
      </c>
      <c r="N54" s="19"/>
    </row>
    <row r="55" spans="1:14" x14ac:dyDescent="0.25">
      <c r="A55" s="4" t="s">
        <v>67</v>
      </c>
      <c r="B55" s="13">
        <v>500</v>
      </c>
      <c r="C55" s="13">
        <v>0</v>
      </c>
      <c r="D55" s="5">
        <v>0</v>
      </c>
      <c r="E55" s="5">
        <v>0</v>
      </c>
      <c r="F55" s="5">
        <v>0</v>
      </c>
      <c r="G55" s="5">
        <v>0</v>
      </c>
      <c r="H55" s="8">
        <v>0</v>
      </c>
      <c r="I55" s="8">
        <v>0</v>
      </c>
      <c r="J55" s="8">
        <v>0</v>
      </c>
      <c r="K55" s="8">
        <v>0</v>
      </c>
      <c r="L55" s="3">
        <v>10</v>
      </c>
      <c r="M55" s="19">
        <f t="shared" si="0"/>
        <v>500</v>
      </c>
      <c r="N55" s="19"/>
    </row>
    <row r="56" spans="1:14" x14ac:dyDescent="0.25">
      <c r="A56" s="1" t="s">
        <v>15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16"/>
      <c r="M56" s="19"/>
      <c r="N56" s="19"/>
    </row>
    <row r="57" spans="1:14" x14ac:dyDescent="0.25">
      <c r="A57" s="7" t="s">
        <v>21</v>
      </c>
      <c r="B57" s="13">
        <v>250</v>
      </c>
      <c r="C57" s="13">
        <v>0</v>
      </c>
      <c r="D57" s="5">
        <v>0</v>
      </c>
      <c r="E57" s="5">
        <v>0</v>
      </c>
      <c r="F57" s="5">
        <v>0</v>
      </c>
      <c r="G57" s="5">
        <v>0</v>
      </c>
      <c r="H57" s="12">
        <v>0</v>
      </c>
      <c r="I57" s="12">
        <v>0</v>
      </c>
      <c r="J57" s="12">
        <v>0</v>
      </c>
      <c r="K57" s="12">
        <v>0</v>
      </c>
      <c r="L57" s="3">
        <v>10</v>
      </c>
      <c r="M57" s="19">
        <f t="shared" si="0"/>
        <v>250</v>
      </c>
      <c r="N57" s="12">
        <v>250</v>
      </c>
    </row>
    <row r="58" spans="1:14" x14ac:dyDescent="0.25">
      <c r="A58" s="1" t="s">
        <v>16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16"/>
      <c r="M58" s="19"/>
      <c r="N58" s="19"/>
    </row>
    <row r="59" spans="1:14" x14ac:dyDescent="0.25">
      <c r="A59" s="13" t="s">
        <v>53</v>
      </c>
      <c r="B59" s="13">
        <v>10750</v>
      </c>
      <c r="C59" s="13">
        <v>85</v>
      </c>
      <c r="D59" s="5">
        <v>0</v>
      </c>
      <c r="E59" s="5">
        <v>0</v>
      </c>
      <c r="F59" s="5">
        <v>85</v>
      </c>
      <c r="G59" s="5">
        <v>0</v>
      </c>
      <c r="H59" s="5">
        <v>0</v>
      </c>
      <c r="I59" s="5">
        <v>0</v>
      </c>
      <c r="J59" s="5">
        <v>85</v>
      </c>
      <c r="K59" s="5">
        <v>0</v>
      </c>
      <c r="L59" s="3">
        <v>40</v>
      </c>
      <c r="M59" s="19">
        <f t="shared" si="0"/>
        <v>11005</v>
      </c>
      <c r="N59" s="19">
        <f>SUM(M59:M73)</f>
        <v>29010</v>
      </c>
    </row>
    <row r="60" spans="1:14" x14ac:dyDescent="0.25">
      <c r="A60" s="13" t="s">
        <v>54</v>
      </c>
      <c r="B60" s="13">
        <v>6700</v>
      </c>
      <c r="C60" s="13">
        <v>60</v>
      </c>
      <c r="D60" s="5">
        <v>0</v>
      </c>
      <c r="E60" s="5">
        <v>0</v>
      </c>
      <c r="F60" s="5">
        <v>0</v>
      </c>
      <c r="G60" s="5">
        <v>0</v>
      </c>
      <c r="H60" s="5">
        <v>5</v>
      </c>
      <c r="I60" s="5">
        <v>15</v>
      </c>
      <c r="J60" s="5">
        <v>0</v>
      </c>
      <c r="K60" s="5">
        <v>0</v>
      </c>
      <c r="L60" s="3">
        <v>40</v>
      </c>
      <c r="M60" s="19">
        <f t="shared" si="0"/>
        <v>6780</v>
      </c>
      <c r="N60" s="19"/>
    </row>
    <row r="61" spans="1:14" x14ac:dyDescent="0.25">
      <c r="A61" s="4" t="s">
        <v>68</v>
      </c>
      <c r="B61" s="13">
        <v>100</v>
      </c>
      <c r="C61" s="13">
        <v>0</v>
      </c>
      <c r="D61" s="5">
        <v>0</v>
      </c>
      <c r="E61" s="5">
        <v>0</v>
      </c>
      <c r="F61" s="5">
        <v>0</v>
      </c>
      <c r="G61" s="5">
        <v>0</v>
      </c>
      <c r="H61" s="8">
        <v>0</v>
      </c>
      <c r="I61" s="8">
        <v>0</v>
      </c>
      <c r="J61" s="8">
        <v>0</v>
      </c>
      <c r="K61" s="8">
        <v>0</v>
      </c>
      <c r="L61" s="3">
        <v>10</v>
      </c>
      <c r="M61" s="19">
        <f t="shared" si="0"/>
        <v>100</v>
      </c>
      <c r="N61" s="19"/>
    </row>
    <row r="62" spans="1:14" x14ac:dyDescent="0.25">
      <c r="A62" s="4" t="s">
        <v>69</v>
      </c>
      <c r="B62" s="13">
        <v>100</v>
      </c>
      <c r="C62" s="13">
        <v>0</v>
      </c>
      <c r="D62" s="5">
        <v>0</v>
      </c>
      <c r="E62" s="5">
        <v>0</v>
      </c>
      <c r="F62" s="5">
        <v>0</v>
      </c>
      <c r="G62" s="5">
        <v>0</v>
      </c>
      <c r="H62" s="8">
        <v>0</v>
      </c>
      <c r="I62" s="8">
        <v>0</v>
      </c>
      <c r="J62" s="8">
        <v>0</v>
      </c>
      <c r="K62" s="8">
        <v>0</v>
      </c>
      <c r="L62" s="3">
        <v>10</v>
      </c>
      <c r="M62" s="19">
        <f t="shared" si="0"/>
        <v>100</v>
      </c>
      <c r="N62" s="19"/>
    </row>
    <row r="63" spans="1:14" x14ac:dyDescent="0.25">
      <c r="A63" s="4" t="s">
        <v>70</v>
      </c>
      <c r="B63" s="13">
        <v>600</v>
      </c>
      <c r="C63" s="13">
        <v>120</v>
      </c>
      <c r="D63" s="5">
        <v>0</v>
      </c>
      <c r="E63" s="5">
        <v>0</v>
      </c>
      <c r="F63" s="5">
        <v>0</v>
      </c>
      <c r="G63" s="5">
        <v>0</v>
      </c>
      <c r="H63" s="8">
        <v>0</v>
      </c>
      <c r="I63" s="8">
        <v>0</v>
      </c>
      <c r="J63" s="8">
        <v>0</v>
      </c>
      <c r="K63" s="8">
        <v>0</v>
      </c>
      <c r="L63" s="3">
        <v>20</v>
      </c>
      <c r="M63" s="19">
        <f t="shared" si="0"/>
        <v>720</v>
      </c>
      <c r="N63" s="19"/>
    </row>
    <row r="64" spans="1:14" x14ac:dyDescent="0.25">
      <c r="A64" s="4" t="s">
        <v>71</v>
      </c>
      <c r="B64" s="13">
        <v>0</v>
      </c>
      <c r="C64" s="13">
        <v>60</v>
      </c>
      <c r="D64" s="5">
        <v>10</v>
      </c>
      <c r="E64" s="5">
        <v>0</v>
      </c>
      <c r="F64" s="5">
        <v>0</v>
      </c>
      <c r="G64" s="5">
        <v>0</v>
      </c>
      <c r="H64" s="5">
        <v>0</v>
      </c>
      <c r="I64" s="5">
        <v>5</v>
      </c>
      <c r="J64" s="5">
        <v>0</v>
      </c>
      <c r="K64" s="5">
        <v>0</v>
      </c>
      <c r="L64" s="3">
        <v>30</v>
      </c>
      <c r="M64" s="19">
        <f t="shared" si="0"/>
        <v>75</v>
      </c>
      <c r="N64" s="19"/>
    </row>
    <row r="65" spans="1:14" x14ac:dyDescent="0.25">
      <c r="A65" s="4" t="s">
        <v>72</v>
      </c>
      <c r="B65" s="13">
        <v>0</v>
      </c>
      <c r="C65" s="13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10</v>
      </c>
      <c r="J65" s="5">
        <v>0</v>
      </c>
      <c r="K65" s="5">
        <v>0</v>
      </c>
      <c r="L65" s="3">
        <v>10</v>
      </c>
      <c r="M65" s="19">
        <f t="shared" si="0"/>
        <v>10</v>
      </c>
      <c r="N65" s="19"/>
    </row>
    <row r="66" spans="1:14" x14ac:dyDescent="0.25">
      <c r="A66" s="6" t="s">
        <v>55</v>
      </c>
      <c r="B66" s="13">
        <v>0</v>
      </c>
      <c r="C66" s="13">
        <v>0</v>
      </c>
      <c r="D66" s="5">
        <v>0</v>
      </c>
      <c r="E66" s="5">
        <v>10</v>
      </c>
      <c r="F66" s="5">
        <v>0</v>
      </c>
      <c r="G66" s="5">
        <v>0</v>
      </c>
      <c r="H66" s="8">
        <v>0</v>
      </c>
      <c r="I66" s="8">
        <v>0</v>
      </c>
      <c r="J66" s="8">
        <v>0</v>
      </c>
      <c r="K66" s="8">
        <v>0</v>
      </c>
      <c r="L66" s="3">
        <v>10</v>
      </c>
      <c r="M66" s="19">
        <f t="shared" si="0"/>
        <v>10</v>
      </c>
      <c r="N66" s="19"/>
    </row>
    <row r="67" spans="1:14" x14ac:dyDescent="0.25">
      <c r="A67" s="6" t="s">
        <v>56</v>
      </c>
      <c r="B67" s="13">
        <v>1900</v>
      </c>
      <c r="C67" s="13">
        <v>0</v>
      </c>
      <c r="D67" s="5">
        <v>0</v>
      </c>
      <c r="E67" s="5">
        <v>0</v>
      </c>
      <c r="F67" s="5">
        <v>0</v>
      </c>
      <c r="G67" s="5">
        <v>0</v>
      </c>
      <c r="H67" s="8">
        <v>0</v>
      </c>
      <c r="I67" s="8">
        <v>0</v>
      </c>
      <c r="J67" s="8">
        <v>0</v>
      </c>
      <c r="K67" s="8">
        <v>0</v>
      </c>
      <c r="L67" s="3">
        <v>10</v>
      </c>
      <c r="M67" s="19">
        <f t="shared" si="0"/>
        <v>1900</v>
      </c>
      <c r="N67" s="19"/>
    </row>
    <row r="68" spans="1:14" x14ac:dyDescent="0.25">
      <c r="A68" s="6" t="s">
        <v>57</v>
      </c>
      <c r="B68" s="13">
        <v>200</v>
      </c>
      <c r="C68" s="13">
        <v>0</v>
      </c>
      <c r="D68" s="5">
        <v>0</v>
      </c>
      <c r="E68" s="5">
        <v>0</v>
      </c>
      <c r="F68" s="5">
        <v>0</v>
      </c>
      <c r="G68" s="5">
        <v>0</v>
      </c>
      <c r="H68" s="5">
        <v>5</v>
      </c>
      <c r="I68" s="5">
        <v>0</v>
      </c>
      <c r="J68" s="5">
        <v>0</v>
      </c>
      <c r="K68" s="5">
        <v>0</v>
      </c>
      <c r="L68" s="3">
        <v>20</v>
      </c>
      <c r="M68" s="19">
        <f t="shared" ref="M68:M75" si="1">SUM(B68:K68)</f>
        <v>205</v>
      </c>
      <c r="N68" s="19"/>
    </row>
    <row r="69" spans="1:14" x14ac:dyDescent="0.25">
      <c r="A69" s="6" t="s">
        <v>58</v>
      </c>
      <c r="B69" s="13">
        <v>400</v>
      </c>
      <c r="C69" s="13">
        <v>0</v>
      </c>
      <c r="D69" s="5">
        <v>0</v>
      </c>
      <c r="E69" s="5">
        <v>0</v>
      </c>
      <c r="F69" s="5">
        <v>0</v>
      </c>
      <c r="G69" s="5">
        <v>0</v>
      </c>
      <c r="H69" s="8">
        <v>0</v>
      </c>
      <c r="I69" s="8">
        <v>0</v>
      </c>
      <c r="J69" s="8">
        <v>0</v>
      </c>
      <c r="K69" s="8">
        <v>0</v>
      </c>
      <c r="L69" s="3">
        <v>10</v>
      </c>
      <c r="M69" s="19">
        <f t="shared" si="1"/>
        <v>400</v>
      </c>
      <c r="N69" s="19"/>
    </row>
    <row r="70" spans="1:14" x14ac:dyDescent="0.25">
      <c r="A70" s="4" t="s">
        <v>73</v>
      </c>
      <c r="B70" s="13">
        <v>100</v>
      </c>
      <c r="C70" s="13">
        <v>0</v>
      </c>
      <c r="D70" s="5">
        <v>0</v>
      </c>
      <c r="E70" s="5">
        <v>0</v>
      </c>
      <c r="F70" s="5">
        <v>0</v>
      </c>
      <c r="G70" s="5">
        <v>0</v>
      </c>
      <c r="H70" s="8">
        <v>0</v>
      </c>
      <c r="I70" s="8">
        <v>0</v>
      </c>
      <c r="J70" s="8">
        <v>0</v>
      </c>
      <c r="K70" s="8">
        <v>0</v>
      </c>
      <c r="L70" s="3">
        <v>10</v>
      </c>
      <c r="M70" s="19">
        <f t="shared" si="1"/>
        <v>100</v>
      </c>
      <c r="N70" s="19"/>
    </row>
    <row r="71" spans="1:14" x14ac:dyDescent="0.25">
      <c r="A71" s="6" t="s">
        <v>59</v>
      </c>
      <c r="B71" s="13">
        <v>6900</v>
      </c>
      <c r="C71" s="13">
        <v>0</v>
      </c>
      <c r="D71" s="5">
        <v>0</v>
      </c>
      <c r="E71" s="5">
        <v>0</v>
      </c>
      <c r="F71" s="5">
        <v>0</v>
      </c>
      <c r="G71" s="5">
        <v>0</v>
      </c>
      <c r="H71" s="8">
        <v>0</v>
      </c>
      <c r="I71" s="8">
        <v>0</v>
      </c>
      <c r="J71" s="8">
        <v>0</v>
      </c>
      <c r="K71" s="8">
        <v>0</v>
      </c>
      <c r="L71" s="3">
        <v>10</v>
      </c>
      <c r="M71" s="19">
        <f t="shared" si="1"/>
        <v>6900</v>
      </c>
      <c r="N71" s="19"/>
    </row>
    <row r="72" spans="1:14" x14ac:dyDescent="0.25">
      <c r="A72" s="6" t="s">
        <v>77</v>
      </c>
      <c r="B72" s="13">
        <v>0</v>
      </c>
      <c r="C72" s="13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5</v>
      </c>
      <c r="L72" s="3">
        <v>10</v>
      </c>
      <c r="M72" s="19">
        <f t="shared" si="1"/>
        <v>5</v>
      </c>
      <c r="N72" s="19"/>
    </row>
    <row r="73" spans="1:14" x14ac:dyDescent="0.25">
      <c r="A73" s="6" t="s">
        <v>60</v>
      </c>
      <c r="B73" s="13">
        <v>700</v>
      </c>
      <c r="C73" s="13">
        <v>0</v>
      </c>
      <c r="D73" s="5">
        <v>0</v>
      </c>
      <c r="E73" s="5">
        <v>0</v>
      </c>
      <c r="F73" s="5">
        <v>0</v>
      </c>
      <c r="G73" s="5">
        <v>0</v>
      </c>
      <c r="H73" s="8">
        <v>0</v>
      </c>
      <c r="I73" s="8">
        <v>0</v>
      </c>
      <c r="J73" s="8">
        <v>0</v>
      </c>
      <c r="K73" s="8">
        <v>0</v>
      </c>
      <c r="L73" s="3">
        <v>10</v>
      </c>
      <c r="M73" s="19">
        <f t="shared" si="1"/>
        <v>700</v>
      </c>
      <c r="N73" s="19"/>
    </row>
    <row r="74" spans="1:14" x14ac:dyDescent="0.25">
      <c r="A74" s="1" t="s">
        <v>17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16"/>
      <c r="M74" s="19"/>
      <c r="N74" s="19"/>
    </row>
    <row r="75" spans="1:14" x14ac:dyDescent="0.25">
      <c r="A75" s="13" t="s">
        <v>18</v>
      </c>
      <c r="B75" s="13">
        <v>0</v>
      </c>
      <c r="C75" s="13">
        <v>0</v>
      </c>
      <c r="D75" s="5">
        <v>0</v>
      </c>
      <c r="E75" s="5">
        <v>0</v>
      </c>
      <c r="F75" s="5">
        <v>255</v>
      </c>
      <c r="G75" s="5">
        <v>0</v>
      </c>
      <c r="H75" s="5">
        <v>250</v>
      </c>
      <c r="I75" s="5">
        <v>170</v>
      </c>
      <c r="J75" s="5">
        <v>0</v>
      </c>
      <c r="K75" s="5">
        <v>170</v>
      </c>
      <c r="L75" s="3">
        <v>40</v>
      </c>
      <c r="M75" s="19">
        <f t="shared" si="1"/>
        <v>845</v>
      </c>
      <c r="N75" s="5">
        <v>845</v>
      </c>
    </row>
    <row r="76" spans="1:14" x14ac:dyDescent="0.25">
      <c r="A76" s="14" t="s">
        <v>85</v>
      </c>
      <c r="B76" s="14">
        <f>SUM(B3:B75)</f>
        <v>48950</v>
      </c>
      <c r="C76" s="14">
        <f t="shared" ref="C76:K76" si="2">SUM(C3:C75)</f>
        <v>4235</v>
      </c>
      <c r="D76" s="14">
        <f t="shared" si="2"/>
        <v>3070</v>
      </c>
      <c r="E76" s="14">
        <f t="shared" si="2"/>
        <v>1625</v>
      </c>
      <c r="F76" s="14">
        <f t="shared" si="2"/>
        <v>3570</v>
      </c>
      <c r="G76" s="14">
        <f t="shared" si="2"/>
        <v>170</v>
      </c>
      <c r="H76" s="14">
        <f t="shared" si="2"/>
        <v>15260</v>
      </c>
      <c r="I76" s="14">
        <f t="shared" si="2"/>
        <v>795</v>
      </c>
      <c r="J76" s="14">
        <f t="shared" si="2"/>
        <v>1020</v>
      </c>
      <c r="K76" s="14">
        <f t="shared" si="2"/>
        <v>855</v>
      </c>
      <c r="L76" s="14" t="s">
        <v>87</v>
      </c>
    </row>
    <row r="77" spans="1:14" x14ac:dyDescent="0.25">
      <c r="N77" s="18">
        <v>79550</v>
      </c>
    </row>
    <row r="79" spans="1:14" x14ac:dyDescent="0.25">
      <c r="B79" s="1" t="s">
        <v>90</v>
      </c>
      <c r="C79" s="1" t="s">
        <v>91</v>
      </c>
      <c r="D79" s="1" t="s">
        <v>92</v>
      </c>
      <c r="E79" s="1" t="s">
        <v>93</v>
      </c>
      <c r="F79" s="1" t="s">
        <v>94</v>
      </c>
      <c r="G79" s="1" t="s">
        <v>95</v>
      </c>
      <c r="H79" s="1" t="s">
        <v>96</v>
      </c>
      <c r="I79" s="1" t="s">
        <v>97</v>
      </c>
      <c r="J79" s="1" t="s">
        <v>98</v>
      </c>
      <c r="K79" s="1" t="s">
        <v>99</v>
      </c>
    </row>
    <row r="80" spans="1:14" x14ac:dyDescent="0.25">
      <c r="B80">
        <v>48950</v>
      </c>
      <c r="C80">
        <v>4235</v>
      </c>
      <c r="D80">
        <v>3070</v>
      </c>
      <c r="E80">
        <v>1625</v>
      </c>
      <c r="F80">
        <v>3570</v>
      </c>
      <c r="G80">
        <v>170</v>
      </c>
      <c r="H80">
        <v>15260</v>
      </c>
      <c r="I80">
        <v>795</v>
      </c>
      <c r="J80">
        <v>1020</v>
      </c>
      <c r="K80">
        <v>855</v>
      </c>
    </row>
    <row r="84" spans="10:11" x14ac:dyDescent="0.25">
      <c r="J84" s="1" t="s">
        <v>10</v>
      </c>
      <c r="K84" s="23">
        <f>85/79550</f>
        <v>1.0685103708359522E-3</v>
      </c>
    </row>
    <row r="85" spans="10:11" x14ac:dyDescent="0.25">
      <c r="J85" s="1" t="s">
        <v>12</v>
      </c>
      <c r="K85" s="23">
        <f>585/79550</f>
        <v>7.3538654934003772E-3</v>
      </c>
    </row>
    <row r="86" spans="10:11" x14ac:dyDescent="0.25">
      <c r="J86" s="14" t="s">
        <v>13</v>
      </c>
      <c r="K86" s="23">
        <f>32750/79550</f>
        <v>0.41169076052796982</v>
      </c>
    </row>
    <row r="87" spans="10:11" x14ac:dyDescent="0.25">
      <c r="J87" s="1" t="s">
        <v>14</v>
      </c>
      <c r="K87" s="23">
        <f>16025/79550</f>
        <v>0.20144563167818982</v>
      </c>
    </row>
    <row r="88" spans="10:11" x14ac:dyDescent="0.25">
      <c r="J88" s="14" t="s">
        <v>15</v>
      </c>
      <c r="K88" s="23">
        <f>250/79550</f>
        <v>3.1426775612822125E-3</v>
      </c>
    </row>
    <row r="89" spans="10:11" x14ac:dyDescent="0.25">
      <c r="J89" s="1" t="s">
        <v>16</v>
      </c>
      <c r="K89" s="23">
        <f>29010/79550</f>
        <v>0.36467630421118791</v>
      </c>
    </row>
    <row r="90" spans="10:11" x14ac:dyDescent="0.25">
      <c r="J90" s="1" t="s">
        <v>17</v>
      </c>
      <c r="K90" s="23">
        <f>845/79550</f>
        <v>1.0622250157133879E-2</v>
      </c>
    </row>
    <row r="92" spans="10:11" x14ac:dyDescent="0.25">
      <c r="K92" s="20"/>
    </row>
    <row r="93" spans="10:11" x14ac:dyDescent="0.25">
      <c r="K93" s="21"/>
    </row>
    <row r="94" spans="10:11" x14ac:dyDescent="0.25">
      <c r="K94" s="21"/>
    </row>
    <row r="95" spans="10:11" x14ac:dyDescent="0.25">
      <c r="K95" s="21"/>
    </row>
    <row r="96" spans="10:11" x14ac:dyDescent="0.25">
      <c r="K96" s="22"/>
    </row>
    <row r="97" spans="11:11" x14ac:dyDescent="0.25">
      <c r="K97" s="21"/>
    </row>
    <row r="98" spans="11:11" x14ac:dyDescent="0.25">
      <c r="K98" s="20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7925C-1B0E-4223-88C3-8D6917E6573C}">
  <dimension ref="A1:N87"/>
  <sheetViews>
    <sheetView topLeftCell="A75" workbookViewId="0">
      <selection activeCell="B9" sqref="B9:G38"/>
    </sheetView>
  </sheetViews>
  <sheetFormatPr defaultRowHeight="15" x14ac:dyDescent="0.25"/>
  <cols>
    <col min="1" max="1" width="30.140625" bestFit="1" customWidth="1"/>
    <col min="8" max="8" width="10.140625" customWidth="1"/>
    <col min="9" max="9" width="9.7109375" customWidth="1"/>
    <col min="10" max="11" width="9.85546875" customWidth="1"/>
    <col min="12" max="12" width="11.140625" bestFit="1" customWidth="1"/>
  </cols>
  <sheetData>
    <row r="1" spans="1:11" ht="24" x14ac:dyDescent="0.25">
      <c r="A1" s="1" t="s">
        <v>11</v>
      </c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25">
      <c r="A2" s="14" t="s">
        <v>10</v>
      </c>
      <c r="B2" s="14"/>
      <c r="C2" s="14"/>
      <c r="D2" s="9"/>
      <c r="E2" s="9"/>
      <c r="F2" s="9"/>
      <c r="G2" s="9"/>
      <c r="H2" s="9"/>
      <c r="I2" s="9"/>
      <c r="J2" s="9"/>
      <c r="K2" s="9"/>
    </row>
    <row r="3" spans="1:11" x14ac:dyDescent="0.25">
      <c r="A3" s="8" t="s">
        <v>61</v>
      </c>
      <c r="B3" s="8"/>
      <c r="C3" s="8" t="s">
        <v>100</v>
      </c>
      <c r="D3" s="5"/>
      <c r="E3" s="5"/>
      <c r="F3" s="5"/>
      <c r="G3" s="5"/>
      <c r="H3" s="5"/>
      <c r="I3" s="5"/>
      <c r="J3" s="5"/>
      <c r="K3" s="5"/>
    </row>
    <row r="4" spans="1:11" x14ac:dyDescent="0.25">
      <c r="A4" s="14" t="s">
        <v>12</v>
      </c>
      <c r="B4" s="14"/>
      <c r="C4" s="14"/>
      <c r="D4" s="9"/>
      <c r="E4" s="9"/>
      <c r="F4" s="9"/>
      <c r="G4" s="9"/>
      <c r="H4" s="9"/>
      <c r="I4" s="9"/>
      <c r="J4" s="9"/>
      <c r="K4" s="9"/>
    </row>
    <row r="5" spans="1:11" x14ac:dyDescent="0.25">
      <c r="A5" s="24" t="s">
        <v>78</v>
      </c>
      <c r="B5" s="5"/>
      <c r="C5" s="5"/>
      <c r="D5" s="5"/>
      <c r="E5" s="5"/>
      <c r="F5" s="12"/>
      <c r="G5" s="12"/>
      <c r="H5" s="5" t="s">
        <v>100</v>
      </c>
      <c r="I5" s="5"/>
      <c r="J5" s="5"/>
      <c r="K5" s="5"/>
    </row>
    <row r="6" spans="1:11" x14ac:dyDescent="0.25">
      <c r="A6" s="24" t="s">
        <v>22</v>
      </c>
      <c r="B6" s="25"/>
      <c r="C6" s="25"/>
      <c r="D6" s="5" t="s">
        <v>100</v>
      </c>
      <c r="E6" s="5"/>
      <c r="F6" s="5"/>
      <c r="G6" s="5"/>
      <c r="H6" s="5"/>
      <c r="I6" s="5"/>
      <c r="J6" s="5"/>
      <c r="K6" s="5"/>
    </row>
    <row r="7" spans="1:11" x14ac:dyDescent="0.25">
      <c r="A7" s="24" t="s">
        <v>23</v>
      </c>
      <c r="B7" s="25" t="s">
        <v>100</v>
      </c>
      <c r="C7" s="25"/>
      <c r="D7" s="5"/>
      <c r="E7" s="5"/>
      <c r="F7" s="5"/>
      <c r="G7" s="5"/>
      <c r="H7" s="5"/>
      <c r="I7" s="5"/>
      <c r="J7" s="5"/>
      <c r="K7" s="5"/>
    </row>
    <row r="8" spans="1:11" x14ac:dyDescent="0.25">
      <c r="A8" s="14" t="s">
        <v>13</v>
      </c>
      <c r="B8" s="14"/>
      <c r="C8" s="14"/>
      <c r="D8" s="9"/>
      <c r="E8" s="9"/>
      <c r="F8" s="9"/>
      <c r="G8" s="9"/>
      <c r="H8" s="9"/>
      <c r="I8" s="9"/>
      <c r="J8" s="9"/>
      <c r="K8" s="9"/>
    </row>
    <row r="9" spans="1:11" x14ac:dyDescent="0.25">
      <c r="A9" s="24" t="s">
        <v>24</v>
      </c>
      <c r="B9" s="25"/>
      <c r="C9" s="25" t="s">
        <v>100</v>
      </c>
      <c r="D9" s="5"/>
      <c r="E9" s="5"/>
      <c r="F9" s="5"/>
      <c r="G9" s="5"/>
      <c r="H9" s="5" t="s">
        <v>100</v>
      </c>
      <c r="I9" s="5"/>
      <c r="J9" s="5"/>
      <c r="K9" s="5"/>
    </row>
    <row r="10" spans="1:11" x14ac:dyDescent="0.25">
      <c r="A10" s="24" t="s">
        <v>79</v>
      </c>
      <c r="B10" s="25"/>
      <c r="C10" s="25"/>
      <c r="D10" s="5"/>
      <c r="E10" s="5"/>
      <c r="F10" s="5"/>
      <c r="G10" s="5"/>
      <c r="H10" s="5"/>
      <c r="I10" s="5"/>
      <c r="J10" s="5"/>
      <c r="K10" s="5" t="s">
        <v>100</v>
      </c>
    </row>
    <row r="11" spans="1:11" x14ac:dyDescent="0.25">
      <c r="A11" s="24" t="s">
        <v>80</v>
      </c>
      <c r="B11" s="25"/>
      <c r="C11" s="25"/>
      <c r="D11" s="5"/>
      <c r="E11" s="5"/>
      <c r="F11" s="5"/>
      <c r="G11" s="5"/>
      <c r="H11" s="5" t="s">
        <v>100</v>
      </c>
      <c r="I11" s="5"/>
      <c r="J11" s="5"/>
      <c r="K11" s="5"/>
    </row>
    <row r="12" spans="1:11" x14ac:dyDescent="0.25">
      <c r="A12" s="24" t="s">
        <v>25</v>
      </c>
      <c r="B12" s="25"/>
      <c r="C12" s="25" t="s">
        <v>100</v>
      </c>
      <c r="D12" s="5"/>
      <c r="E12" s="5"/>
      <c r="F12" s="5"/>
      <c r="G12" s="5"/>
      <c r="H12" s="5"/>
      <c r="I12" s="25"/>
      <c r="J12" s="5"/>
      <c r="K12" s="5"/>
    </row>
    <row r="13" spans="1:11" x14ac:dyDescent="0.25">
      <c r="A13" s="24" t="s">
        <v>26</v>
      </c>
      <c r="B13" s="25" t="s">
        <v>100</v>
      </c>
      <c r="C13" s="25" t="s">
        <v>100</v>
      </c>
      <c r="D13" s="5" t="s">
        <v>100</v>
      </c>
      <c r="E13" s="5" t="s">
        <v>100</v>
      </c>
      <c r="F13" s="5" t="s">
        <v>100</v>
      </c>
      <c r="G13" s="5" t="s">
        <v>100</v>
      </c>
      <c r="H13" s="5" t="s">
        <v>100</v>
      </c>
      <c r="I13" s="5" t="s">
        <v>100</v>
      </c>
      <c r="J13" s="5"/>
      <c r="K13" s="5"/>
    </row>
    <row r="14" spans="1:11" x14ac:dyDescent="0.25">
      <c r="A14" s="24" t="s">
        <v>27</v>
      </c>
      <c r="B14" s="25"/>
      <c r="C14" s="25" t="s">
        <v>100</v>
      </c>
      <c r="D14" s="5"/>
      <c r="E14" s="5"/>
      <c r="F14" s="5"/>
      <c r="G14" s="5"/>
      <c r="H14" s="5" t="s">
        <v>100</v>
      </c>
      <c r="I14" s="5"/>
      <c r="J14" s="5"/>
      <c r="K14" s="5"/>
    </row>
    <row r="15" spans="1:11" x14ac:dyDescent="0.25">
      <c r="A15" s="24" t="s">
        <v>81</v>
      </c>
      <c r="B15" s="5"/>
      <c r="C15" s="5"/>
      <c r="D15" s="5"/>
      <c r="E15" s="5"/>
      <c r="F15" s="5"/>
      <c r="G15" s="5"/>
      <c r="H15" s="5" t="s">
        <v>100</v>
      </c>
      <c r="I15" s="5"/>
      <c r="J15" s="5" t="s">
        <v>100</v>
      </c>
      <c r="K15" s="5"/>
    </row>
    <row r="16" spans="1:11" x14ac:dyDescent="0.25">
      <c r="A16" s="8" t="s">
        <v>62</v>
      </c>
      <c r="B16" s="8"/>
      <c r="C16" s="8"/>
      <c r="D16" s="5"/>
      <c r="E16" s="5"/>
      <c r="F16" s="5" t="s">
        <v>100</v>
      </c>
      <c r="G16" s="5" t="s">
        <v>100</v>
      </c>
      <c r="H16" s="5" t="s">
        <v>100</v>
      </c>
      <c r="I16" s="5" t="s">
        <v>100</v>
      </c>
      <c r="J16" s="5"/>
      <c r="K16" s="5" t="s">
        <v>100</v>
      </c>
    </row>
    <row r="17" spans="1:11" x14ac:dyDescent="0.25">
      <c r="A17" s="24" t="s">
        <v>28</v>
      </c>
      <c r="B17" s="25" t="s">
        <v>100</v>
      </c>
      <c r="C17" s="25" t="s">
        <v>100</v>
      </c>
      <c r="D17" s="5" t="s">
        <v>100</v>
      </c>
      <c r="E17" s="5" t="s">
        <v>100</v>
      </c>
      <c r="F17" s="5" t="s">
        <v>100</v>
      </c>
      <c r="G17" s="5"/>
      <c r="H17" s="5" t="s">
        <v>100</v>
      </c>
      <c r="I17" s="5" t="s">
        <v>100</v>
      </c>
      <c r="J17" s="5" t="s">
        <v>100</v>
      </c>
      <c r="K17" s="5" t="s">
        <v>100</v>
      </c>
    </row>
    <row r="18" spans="1:11" x14ac:dyDescent="0.25">
      <c r="A18" s="24" t="s">
        <v>29</v>
      </c>
      <c r="B18" s="25"/>
      <c r="C18" s="25" t="s">
        <v>100</v>
      </c>
      <c r="D18" s="5" t="s">
        <v>100</v>
      </c>
      <c r="E18" s="5" t="s">
        <v>100</v>
      </c>
      <c r="F18" s="5" t="s">
        <v>100</v>
      </c>
      <c r="G18" s="5"/>
      <c r="H18" s="5" t="s">
        <v>100</v>
      </c>
      <c r="I18" s="5" t="s">
        <v>100</v>
      </c>
      <c r="J18" s="5"/>
      <c r="K18" s="5" t="s">
        <v>100</v>
      </c>
    </row>
    <row r="19" spans="1:11" x14ac:dyDescent="0.25">
      <c r="A19" s="24" t="s">
        <v>30</v>
      </c>
      <c r="B19" s="25"/>
      <c r="C19" s="25" t="s">
        <v>100</v>
      </c>
      <c r="D19" s="5"/>
      <c r="E19" s="5"/>
      <c r="F19" s="5"/>
      <c r="G19" s="5"/>
      <c r="H19" s="5" t="s">
        <v>100</v>
      </c>
      <c r="I19" s="5"/>
      <c r="J19" s="5"/>
      <c r="K19" s="5"/>
    </row>
    <row r="20" spans="1:11" x14ac:dyDescent="0.25">
      <c r="A20" s="24" t="s">
        <v>74</v>
      </c>
      <c r="B20" s="25"/>
      <c r="C20" s="25"/>
      <c r="D20" s="5"/>
      <c r="E20" s="5"/>
      <c r="F20" s="5"/>
      <c r="G20" s="5"/>
      <c r="H20" s="5" t="s">
        <v>100</v>
      </c>
      <c r="I20" s="5"/>
      <c r="J20" s="5" t="s">
        <v>100</v>
      </c>
      <c r="K20" s="5"/>
    </row>
    <row r="21" spans="1:11" x14ac:dyDescent="0.25">
      <c r="A21" s="24" t="s">
        <v>75</v>
      </c>
      <c r="B21" s="25"/>
      <c r="C21" s="25"/>
      <c r="D21" s="5"/>
      <c r="E21" s="5"/>
      <c r="F21" s="5"/>
      <c r="G21" s="5"/>
      <c r="H21" s="5"/>
      <c r="I21" s="5" t="s">
        <v>100</v>
      </c>
      <c r="J21" s="5"/>
      <c r="K21" s="5"/>
    </row>
    <row r="22" spans="1:11" x14ac:dyDescent="0.25">
      <c r="A22" s="8" t="s">
        <v>63</v>
      </c>
      <c r="B22" s="25"/>
      <c r="C22" s="25"/>
      <c r="D22" s="5"/>
      <c r="E22" s="5"/>
      <c r="F22" s="5" t="s">
        <v>100</v>
      </c>
      <c r="G22" s="5"/>
      <c r="H22" s="8"/>
      <c r="I22" s="25"/>
      <c r="J22" s="8"/>
      <c r="K22" s="8"/>
    </row>
    <row r="23" spans="1:11" x14ac:dyDescent="0.25">
      <c r="A23" s="24" t="s">
        <v>31</v>
      </c>
      <c r="B23" s="25" t="s">
        <v>100</v>
      </c>
      <c r="C23" s="25" t="s">
        <v>100</v>
      </c>
      <c r="D23" s="5"/>
      <c r="E23" s="5"/>
      <c r="F23" s="5"/>
      <c r="G23" s="5"/>
      <c r="H23" s="8"/>
      <c r="I23" s="25"/>
      <c r="J23" s="8"/>
      <c r="K23" s="8"/>
    </row>
    <row r="24" spans="1:11" x14ac:dyDescent="0.25">
      <c r="A24" s="24" t="s">
        <v>32</v>
      </c>
      <c r="B24" s="25"/>
      <c r="C24" s="25" t="s">
        <v>100</v>
      </c>
      <c r="D24" s="5" t="s">
        <v>100</v>
      </c>
      <c r="E24" s="5"/>
      <c r="F24" s="5" t="s">
        <v>100</v>
      </c>
      <c r="G24" s="5"/>
      <c r="H24" s="8"/>
      <c r="I24" s="25"/>
      <c r="J24" s="8"/>
      <c r="K24" s="8"/>
    </row>
    <row r="25" spans="1:11" x14ac:dyDescent="0.25">
      <c r="A25" s="24" t="s">
        <v>33</v>
      </c>
      <c r="B25" s="25"/>
      <c r="C25" s="25"/>
      <c r="D25" s="5"/>
      <c r="E25" s="5"/>
      <c r="F25" s="5" t="s">
        <v>100</v>
      </c>
      <c r="G25" s="5"/>
      <c r="H25" s="5"/>
      <c r="I25" s="5"/>
      <c r="J25" s="5" t="s">
        <v>100</v>
      </c>
      <c r="K25" s="5"/>
    </row>
    <row r="26" spans="1:11" x14ac:dyDescent="0.25">
      <c r="A26" s="24" t="s">
        <v>82</v>
      </c>
      <c r="B26" s="25"/>
      <c r="C26" s="25"/>
      <c r="D26" s="5"/>
      <c r="E26" s="5"/>
      <c r="F26" s="5"/>
      <c r="G26" s="5"/>
      <c r="H26" s="5"/>
      <c r="I26" s="5"/>
      <c r="J26" s="5" t="s">
        <v>100</v>
      </c>
      <c r="K26" s="5"/>
    </row>
    <row r="27" spans="1:11" x14ac:dyDescent="0.25">
      <c r="A27" s="24" t="s">
        <v>34</v>
      </c>
      <c r="B27" s="25"/>
      <c r="C27" s="25" t="s">
        <v>100</v>
      </c>
      <c r="D27" s="5"/>
      <c r="E27" s="5"/>
      <c r="F27" s="5"/>
      <c r="G27" s="5"/>
      <c r="H27" s="5"/>
      <c r="I27" s="5"/>
      <c r="J27" s="5"/>
      <c r="K27" s="5" t="s">
        <v>100</v>
      </c>
    </row>
    <row r="28" spans="1:11" x14ac:dyDescent="0.25">
      <c r="A28" s="24" t="s">
        <v>35</v>
      </c>
      <c r="B28" s="25" t="s">
        <v>100</v>
      </c>
      <c r="C28" s="25" t="s">
        <v>100</v>
      </c>
      <c r="D28" s="5" t="s">
        <v>100</v>
      </c>
      <c r="E28" s="5"/>
      <c r="F28" s="5" t="s">
        <v>100</v>
      </c>
      <c r="G28" s="5"/>
      <c r="H28" s="5" t="s">
        <v>100</v>
      </c>
      <c r="I28" s="5"/>
      <c r="J28" s="5" t="s">
        <v>100</v>
      </c>
      <c r="K28" s="5"/>
    </row>
    <row r="29" spans="1:11" x14ac:dyDescent="0.25">
      <c r="A29" s="24" t="s">
        <v>36</v>
      </c>
      <c r="B29" s="25" t="s">
        <v>100</v>
      </c>
      <c r="C29" s="25"/>
      <c r="D29" s="5"/>
      <c r="E29" s="5"/>
      <c r="F29" s="5"/>
      <c r="G29" s="5"/>
      <c r="H29" s="8"/>
      <c r="I29" s="8"/>
      <c r="J29" s="8"/>
      <c r="K29" s="8"/>
    </row>
    <row r="30" spans="1:11" x14ac:dyDescent="0.25">
      <c r="A30" s="24" t="s">
        <v>37</v>
      </c>
      <c r="B30" s="25"/>
      <c r="C30" s="25" t="s">
        <v>100</v>
      </c>
      <c r="D30" s="5"/>
      <c r="E30" s="5"/>
      <c r="F30" s="5"/>
      <c r="G30" s="5"/>
      <c r="H30" s="8"/>
      <c r="I30" s="8"/>
      <c r="J30" s="8"/>
      <c r="K30" s="8"/>
    </row>
    <row r="31" spans="1:11" x14ac:dyDescent="0.25">
      <c r="A31" s="24" t="s">
        <v>38</v>
      </c>
      <c r="B31" s="25"/>
      <c r="C31" s="25"/>
      <c r="D31" s="5" t="s">
        <v>100</v>
      </c>
      <c r="E31" s="5"/>
      <c r="F31" s="5"/>
      <c r="G31" s="5"/>
      <c r="H31" s="8"/>
      <c r="I31" s="25"/>
      <c r="J31" s="8"/>
      <c r="K31" s="8"/>
    </row>
    <row r="32" spans="1:11" x14ac:dyDescent="0.25">
      <c r="A32" s="24" t="s">
        <v>83</v>
      </c>
      <c r="B32" s="25"/>
      <c r="C32" s="25"/>
      <c r="D32" s="5"/>
      <c r="E32" s="5"/>
      <c r="F32" s="5"/>
      <c r="G32" s="5"/>
      <c r="H32" s="5" t="s">
        <v>100</v>
      </c>
      <c r="I32" s="5"/>
      <c r="J32" s="5"/>
      <c r="K32" s="5"/>
    </row>
    <row r="33" spans="1:11" x14ac:dyDescent="0.25">
      <c r="A33" s="24" t="s">
        <v>39</v>
      </c>
      <c r="B33" s="25"/>
      <c r="C33" s="25"/>
      <c r="D33" s="5"/>
      <c r="E33" s="5" t="s">
        <v>100</v>
      </c>
      <c r="F33" s="5"/>
      <c r="G33" s="5"/>
      <c r="H33" s="8"/>
      <c r="I33" s="25"/>
      <c r="J33" s="8"/>
      <c r="K33" s="8"/>
    </row>
    <row r="34" spans="1:11" x14ac:dyDescent="0.25">
      <c r="A34" s="24" t="s">
        <v>40</v>
      </c>
      <c r="B34" s="25"/>
      <c r="C34" s="25"/>
      <c r="D34" s="5"/>
      <c r="E34" s="5"/>
      <c r="F34" s="5" t="s">
        <v>100</v>
      </c>
      <c r="G34" s="5"/>
      <c r="H34" s="8"/>
      <c r="I34" s="25"/>
      <c r="J34" s="8"/>
      <c r="K34" s="8"/>
    </row>
    <row r="35" spans="1:11" x14ac:dyDescent="0.25">
      <c r="A35" s="24" t="s">
        <v>41</v>
      </c>
      <c r="B35" s="25"/>
      <c r="C35" s="25"/>
      <c r="D35" s="5" t="s">
        <v>100</v>
      </c>
      <c r="E35" s="5"/>
      <c r="F35" s="5" t="s">
        <v>100</v>
      </c>
      <c r="G35" s="5"/>
      <c r="H35" s="5" t="s">
        <v>100</v>
      </c>
      <c r="I35" s="5"/>
      <c r="J35" s="5" t="s">
        <v>100</v>
      </c>
      <c r="K35" s="5" t="s">
        <v>100</v>
      </c>
    </row>
    <row r="36" spans="1:11" x14ac:dyDescent="0.25">
      <c r="A36" s="8" t="s">
        <v>64</v>
      </c>
      <c r="B36" s="8"/>
      <c r="C36" s="25" t="s">
        <v>100</v>
      </c>
      <c r="D36" s="5" t="s">
        <v>100</v>
      </c>
      <c r="E36" s="5"/>
      <c r="F36" s="5" t="s">
        <v>100</v>
      </c>
      <c r="G36" s="5"/>
      <c r="H36" s="8"/>
      <c r="I36" s="8"/>
      <c r="J36" s="8"/>
      <c r="K36" s="8"/>
    </row>
    <row r="37" spans="1:11" x14ac:dyDescent="0.25">
      <c r="A37" s="24" t="s">
        <v>42</v>
      </c>
      <c r="B37" s="25"/>
      <c r="C37" s="25"/>
      <c r="D37" s="5"/>
      <c r="E37" s="5" t="s">
        <v>100</v>
      </c>
      <c r="F37" s="5"/>
      <c r="G37" s="5"/>
      <c r="H37" s="5" t="s">
        <v>100</v>
      </c>
      <c r="I37" s="5"/>
      <c r="J37" s="5"/>
      <c r="K37" s="5"/>
    </row>
    <row r="38" spans="1:11" x14ac:dyDescent="0.25">
      <c r="A38" s="8" t="s">
        <v>84</v>
      </c>
      <c r="B38" s="25"/>
      <c r="C38" s="25"/>
      <c r="D38" s="5"/>
      <c r="E38" s="5"/>
      <c r="F38" s="5"/>
      <c r="G38" s="5"/>
      <c r="H38" s="5"/>
      <c r="I38" s="5"/>
      <c r="J38" s="5"/>
      <c r="K38" s="5" t="s">
        <v>100</v>
      </c>
    </row>
    <row r="39" spans="1:11" x14ac:dyDescent="0.25">
      <c r="A39" s="14" t="s">
        <v>14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25">
      <c r="A40" s="12" t="s">
        <v>20</v>
      </c>
      <c r="B40" s="12" t="s">
        <v>100</v>
      </c>
      <c r="C40" s="12"/>
      <c r="D40" s="11"/>
      <c r="E40" s="11"/>
      <c r="F40" s="11"/>
      <c r="G40" s="11"/>
      <c r="H40" s="12"/>
      <c r="I40" s="12"/>
      <c r="J40" s="12"/>
      <c r="K40" s="12"/>
    </row>
    <row r="41" spans="1:11" x14ac:dyDescent="0.25">
      <c r="A41" s="25" t="s">
        <v>76</v>
      </c>
      <c r="B41" s="12"/>
      <c r="C41" s="12"/>
      <c r="D41" s="11"/>
      <c r="E41" s="11"/>
      <c r="F41" s="11"/>
      <c r="G41" s="11"/>
      <c r="H41" s="5"/>
      <c r="I41" s="5" t="s">
        <v>100</v>
      </c>
      <c r="J41" s="5"/>
      <c r="K41" s="5"/>
    </row>
    <row r="42" spans="1:11" x14ac:dyDescent="0.25">
      <c r="A42" s="26" t="s">
        <v>19</v>
      </c>
      <c r="B42" s="25" t="s">
        <v>100</v>
      </c>
      <c r="C42" s="25" t="s">
        <v>100</v>
      </c>
      <c r="D42" s="5"/>
      <c r="E42" s="5"/>
      <c r="F42" s="5"/>
      <c r="G42" s="5"/>
      <c r="H42" s="12"/>
      <c r="I42" s="12"/>
      <c r="J42" s="12"/>
      <c r="K42" s="12"/>
    </row>
    <row r="43" spans="1:11" x14ac:dyDescent="0.25">
      <c r="A43" s="24" t="s">
        <v>43</v>
      </c>
      <c r="B43" s="25" t="s">
        <v>100</v>
      </c>
      <c r="C43" s="25" t="s">
        <v>100</v>
      </c>
      <c r="D43" s="5"/>
      <c r="E43" s="5"/>
      <c r="F43" s="5"/>
      <c r="G43" s="5"/>
      <c r="H43" s="8"/>
      <c r="I43" s="8"/>
      <c r="J43" s="8"/>
      <c r="K43" s="8"/>
    </row>
    <row r="44" spans="1:11" x14ac:dyDescent="0.25">
      <c r="A44" s="24" t="s">
        <v>44</v>
      </c>
      <c r="B44" s="25" t="s">
        <v>100</v>
      </c>
      <c r="C44" s="25"/>
      <c r="D44" s="5"/>
      <c r="E44" s="5"/>
      <c r="F44" s="5"/>
      <c r="G44" s="5"/>
      <c r="H44" s="8"/>
      <c r="I44" s="8"/>
      <c r="J44" s="8"/>
      <c r="K44" s="8"/>
    </row>
    <row r="45" spans="1:11" x14ac:dyDescent="0.25">
      <c r="A45" s="24" t="s">
        <v>45</v>
      </c>
      <c r="B45" s="25" t="s">
        <v>100</v>
      </c>
      <c r="C45" s="25"/>
      <c r="D45" s="5"/>
      <c r="E45" s="5"/>
      <c r="F45" s="5" t="s">
        <v>100</v>
      </c>
      <c r="G45" s="5"/>
      <c r="H45" s="8"/>
      <c r="I45" s="8"/>
      <c r="J45" s="8"/>
      <c r="K45" s="8"/>
    </row>
    <row r="46" spans="1:11" x14ac:dyDescent="0.25">
      <c r="A46" s="24" t="s">
        <v>46</v>
      </c>
      <c r="B46" s="25" t="s">
        <v>100</v>
      </c>
      <c r="C46" s="25"/>
      <c r="D46" s="5"/>
      <c r="E46" s="5"/>
      <c r="F46" s="5"/>
      <c r="G46" s="5"/>
      <c r="H46" s="8"/>
      <c r="I46" s="8"/>
      <c r="J46" s="8"/>
      <c r="K46" s="8"/>
    </row>
    <row r="47" spans="1:11" x14ac:dyDescent="0.25">
      <c r="A47" s="8" t="s">
        <v>65</v>
      </c>
      <c r="B47" s="25" t="s">
        <v>100</v>
      </c>
      <c r="C47" s="25"/>
      <c r="D47" s="5"/>
      <c r="E47" s="5"/>
      <c r="F47" s="5"/>
      <c r="G47" s="5"/>
      <c r="H47" s="8"/>
      <c r="I47" s="8"/>
      <c r="J47" s="8"/>
      <c r="K47" s="8"/>
    </row>
    <row r="48" spans="1:11" x14ac:dyDescent="0.25">
      <c r="A48" s="24" t="s">
        <v>47</v>
      </c>
      <c r="B48" s="25" t="s">
        <v>100</v>
      </c>
      <c r="C48" s="25"/>
      <c r="D48" s="5"/>
      <c r="E48" s="5"/>
      <c r="F48" s="5"/>
      <c r="G48" s="5"/>
      <c r="H48" s="8"/>
      <c r="I48" s="8"/>
      <c r="J48" s="8"/>
      <c r="K48" s="8"/>
    </row>
    <row r="49" spans="1:11" x14ac:dyDescent="0.25">
      <c r="A49" s="8" t="s">
        <v>66</v>
      </c>
      <c r="B49" s="25" t="s">
        <v>100</v>
      </c>
      <c r="C49" s="25"/>
      <c r="D49" s="5"/>
      <c r="E49" s="5"/>
      <c r="F49" s="5"/>
      <c r="G49" s="5"/>
      <c r="H49" s="8"/>
      <c r="I49" s="8"/>
      <c r="J49" s="8"/>
      <c r="K49" s="8"/>
    </row>
    <row r="50" spans="1:11" x14ac:dyDescent="0.25">
      <c r="A50" s="24" t="s">
        <v>48</v>
      </c>
      <c r="B50" s="25" t="s">
        <v>100</v>
      </c>
      <c r="C50" s="25"/>
      <c r="D50" s="5"/>
      <c r="E50" s="5"/>
      <c r="F50" s="5"/>
      <c r="G50" s="5"/>
      <c r="H50" s="8"/>
      <c r="I50" s="8"/>
      <c r="J50" s="8"/>
      <c r="K50" s="8"/>
    </row>
    <row r="51" spans="1:11" x14ac:dyDescent="0.25">
      <c r="A51" s="24" t="s">
        <v>49</v>
      </c>
      <c r="B51" s="25"/>
      <c r="C51" s="25"/>
      <c r="D51" s="5"/>
      <c r="E51" s="5" t="s">
        <v>100</v>
      </c>
      <c r="F51" s="5"/>
      <c r="G51" s="5"/>
      <c r="H51" s="8"/>
      <c r="I51" s="8"/>
      <c r="J51" s="8"/>
      <c r="K51" s="8"/>
    </row>
    <row r="52" spans="1:11" x14ac:dyDescent="0.25">
      <c r="A52" s="24" t="s">
        <v>50</v>
      </c>
      <c r="B52" s="25"/>
      <c r="C52" s="25"/>
      <c r="D52" s="5"/>
      <c r="E52" s="5" t="s">
        <v>100</v>
      </c>
      <c r="F52" s="5" t="s">
        <v>100</v>
      </c>
      <c r="G52" s="5"/>
      <c r="H52" s="8"/>
      <c r="I52" s="8"/>
      <c r="J52" s="8"/>
      <c r="K52" s="8"/>
    </row>
    <row r="53" spans="1:11" x14ac:dyDescent="0.25">
      <c r="A53" s="24" t="s">
        <v>51</v>
      </c>
      <c r="B53" s="25" t="s">
        <v>100</v>
      </c>
      <c r="C53" s="25"/>
      <c r="D53" s="5"/>
      <c r="E53" s="5"/>
      <c r="F53" s="5"/>
      <c r="G53" s="5"/>
      <c r="H53" s="8"/>
      <c r="I53" s="8"/>
      <c r="J53" s="8"/>
      <c r="K53" s="8"/>
    </row>
    <row r="54" spans="1:11" x14ac:dyDescent="0.25">
      <c r="A54" s="24" t="s">
        <v>52</v>
      </c>
      <c r="B54" s="25" t="s">
        <v>100</v>
      </c>
      <c r="C54" s="25" t="s">
        <v>100</v>
      </c>
      <c r="D54" s="5"/>
      <c r="E54" s="5"/>
      <c r="F54" s="5"/>
      <c r="G54" s="5"/>
      <c r="H54" s="8"/>
      <c r="I54" s="8"/>
      <c r="J54" s="8"/>
      <c r="K54" s="8"/>
    </row>
    <row r="55" spans="1:11" x14ac:dyDescent="0.25">
      <c r="A55" s="8" t="s">
        <v>67</v>
      </c>
      <c r="B55" s="25" t="s">
        <v>100</v>
      </c>
      <c r="C55" s="25"/>
      <c r="D55" s="5"/>
      <c r="E55" s="5"/>
      <c r="F55" s="5"/>
      <c r="G55" s="5"/>
      <c r="H55" s="8"/>
      <c r="I55" s="8"/>
      <c r="J55" s="8"/>
      <c r="K55" s="8"/>
    </row>
    <row r="56" spans="1:11" x14ac:dyDescent="0.25">
      <c r="A56" s="14" t="s">
        <v>15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12" t="s">
        <v>21</v>
      </c>
      <c r="B57" s="25" t="s">
        <v>100</v>
      </c>
      <c r="C57" s="25"/>
      <c r="D57" s="5"/>
      <c r="E57" s="5"/>
      <c r="F57" s="5"/>
      <c r="G57" s="5"/>
      <c r="H57" s="12"/>
      <c r="I57" s="12"/>
      <c r="J57" s="12"/>
      <c r="K57" s="12"/>
    </row>
    <row r="58" spans="1:11" x14ac:dyDescent="0.25">
      <c r="A58" s="14" t="s">
        <v>16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x14ac:dyDescent="0.25">
      <c r="A59" s="25" t="s">
        <v>53</v>
      </c>
      <c r="B59" s="25" t="s">
        <v>100</v>
      </c>
      <c r="C59" s="25" t="s">
        <v>100</v>
      </c>
      <c r="D59" s="5"/>
      <c r="E59" s="5"/>
      <c r="F59" s="5" t="s">
        <v>100</v>
      </c>
      <c r="G59" s="5"/>
      <c r="H59" s="5"/>
      <c r="I59" s="5"/>
      <c r="J59" s="5" t="s">
        <v>100</v>
      </c>
      <c r="K59" s="5"/>
    </row>
    <row r="60" spans="1:11" x14ac:dyDescent="0.25">
      <c r="A60" s="25" t="s">
        <v>54</v>
      </c>
      <c r="B60" s="25" t="s">
        <v>100</v>
      </c>
      <c r="C60" s="25" t="s">
        <v>100</v>
      </c>
      <c r="D60" s="5"/>
      <c r="E60" s="5"/>
      <c r="F60" s="5"/>
      <c r="G60" s="5"/>
      <c r="H60" s="5" t="s">
        <v>100</v>
      </c>
      <c r="I60" s="5" t="s">
        <v>100</v>
      </c>
      <c r="J60" s="5"/>
      <c r="K60" s="5"/>
    </row>
    <row r="61" spans="1:11" x14ac:dyDescent="0.25">
      <c r="A61" s="8" t="s">
        <v>68</v>
      </c>
      <c r="B61" s="25" t="s">
        <v>100</v>
      </c>
      <c r="C61" s="25"/>
      <c r="D61" s="5"/>
      <c r="E61" s="5"/>
      <c r="F61" s="5"/>
      <c r="G61" s="5"/>
      <c r="H61" s="8"/>
      <c r="I61" s="8"/>
      <c r="J61" s="8"/>
      <c r="K61" s="8"/>
    </row>
    <row r="62" spans="1:11" x14ac:dyDescent="0.25">
      <c r="A62" s="8" t="s">
        <v>69</v>
      </c>
      <c r="B62" s="25" t="s">
        <v>100</v>
      </c>
      <c r="C62" s="25"/>
      <c r="D62" s="5"/>
      <c r="E62" s="5"/>
      <c r="F62" s="5"/>
      <c r="G62" s="5"/>
      <c r="H62" s="8"/>
      <c r="I62" s="8"/>
      <c r="J62" s="8"/>
      <c r="K62" s="8"/>
    </row>
    <row r="63" spans="1:11" x14ac:dyDescent="0.25">
      <c r="A63" s="8" t="s">
        <v>70</v>
      </c>
      <c r="B63" s="25" t="s">
        <v>100</v>
      </c>
      <c r="C63" s="25" t="s">
        <v>100</v>
      </c>
      <c r="D63" s="5"/>
      <c r="E63" s="5"/>
      <c r="F63" s="5"/>
      <c r="G63" s="5"/>
      <c r="H63" s="8"/>
      <c r="I63" s="8"/>
      <c r="J63" s="8"/>
      <c r="K63" s="8"/>
    </row>
    <row r="64" spans="1:11" x14ac:dyDescent="0.25">
      <c r="A64" s="8" t="s">
        <v>71</v>
      </c>
      <c r="B64" s="25"/>
      <c r="C64" s="25" t="s">
        <v>100</v>
      </c>
      <c r="D64" s="5" t="s">
        <v>100</v>
      </c>
      <c r="E64" s="5"/>
      <c r="F64" s="5"/>
      <c r="G64" s="5"/>
      <c r="H64" s="5"/>
      <c r="I64" s="5" t="s">
        <v>100</v>
      </c>
      <c r="J64" s="5"/>
      <c r="K64" s="5"/>
    </row>
    <row r="65" spans="1:11" x14ac:dyDescent="0.25">
      <c r="A65" s="8" t="s">
        <v>72</v>
      </c>
      <c r="B65" s="25"/>
      <c r="C65" s="25"/>
      <c r="D65" s="5"/>
      <c r="E65" s="5"/>
      <c r="F65" s="5"/>
      <c r="G65" s="5"/>
      <c r="H65" s="5"/>
      <c r="I65" s="5" t="s">
        <v>100</v>
      </c>
      <c r="J65" s="5"/>
      <c r="K65" s="5"/>
    </row>
    <row r="66" spans="1:11" x14ac:dyDescent="0.25">
      <c r="A66" s="24" t="s">
        <v>55</v>
      </c>
      <c r="B66" s="25"/>
      <c r="C66" s="25"/>
      <c r="D66" s="5"/>
      <c r="E66" s="5" t="s">
        <v>100</v>
      </c>
      <c r="F66" s="5"/>
      <c r="G66" s="5"/>
      <c r="H66" s="8"/>
      <c r="I66" s="8"/>
      <c r="J66" s="8"/>
      <c r="K66" s="8"/>
    </row>
    <row r="67" spans="1:11" x14ac:dyDescent="0.25">
      <c r="A67" s="24" t="s">
        <v>56</v>
      </c>
      <c r="B67" s="25" t="s">
        <v>100</v>
      </c>
      <c r="C67" s="25"/>
      <c r="D67" s="5"/>
      <c r="E67" s="5"/>
      <c r="F67" s="5"/>
      <c r="G67" s="5"/>
      <c r="H67" s="8"/>
      <c r="I67" s="8"/>
      <c r="J67" s="8"/>
      <c r="K67" s="8"/>
    </row>
    <row r="68" spans="1:11" x14ac:dyDescent="0.25">
      <c r="A68" s="24" t="s">
        <v>57</v>
      </c>
      <c r="B68" s="25" t="s">
        <v>100</v>
      </c>
      <c r="C68" s="25"/>
      <c r="D68" s="5"/>
      <c r="E68" s="5"/>
      <c r="F68" s="5"/>
      <c r="G68" s="5"/>
      <c r="H68" s="5" t="s">
        <v>100</v>
      </c>
      <c r="I68" s="5"/>
      <c r="J68" s="5"/>
      <c r="K68" s="5"/>
    </row>
    <row r="69" spans="1:11" x14ac:dyDescent="0.25">
      <c r="A69" s="24" t="s">
        <v>58</v>
      </c>
      <c r="B69" s="25" t="s">
        <v>100</v>
      </c>
      <c r="C69" s="25"/>
      <c r="D69" s="5"/>
      <c r="E69" s="5"/>
      <c r="F69" s="5"/>
      <c r="G69" s="5"/>
      <c r="H69" s="8"/>
      <c r="I69" s="8"/>
      <c r="J69" s="8"/>
      <c r="K69" s="8"/>
    </row>
    <row r="70" spans="1:11" x14ac:dyDescent="0.25">
      <c r="A70" s="8" t="s">
        <v>73</v>
      </c>
      <c r="B70" s="25" t="s">
        <v>100</v>
      </c>
      <c r="C70" s="25"/>
      <c r="D70" s="5"/>
      <c r="E70" s="5"/>
      <c r="F70" s="5"/>
      <c r="G70" s="5"/>
      <c r="H70" s="8"/>
      <c r="I70" s="8"/>
      <c r="J70" s="8"/>
      <c r="K70" s="8"/>
    </row>
    <row r="71" spans="1:11" x14ac:dyDescent="0.25">
      <c r="A71" s="24" t="s">
        <v>59</v>
      </c>
      <c r="B71" s="25" t="s">
        <v>100</v>
      </c>
      <c r="C71" s="25"/>
      <c r="D71" s="5"/>
      <c r="E71" s="5"/>
      <c r="F71" s="5"/>
      <c r="G71" s="5"/>
      <c r="H71" s="8"/>
      <c r="I71" s="8"/>
      <c r="J71" s="8"/>
      <c r="K71" s="8"/>
    </row>
    <row r="72" spans="1:11" x14ac:dyDescent="0.25">
      <c r="A72" s="24" t="s">
        <v>77</v>
      </c>
      <c r="B72" s="25"/>
      <c r="C72" s="25"/>
      <c r="D72" s="5"/>
      <c r="E72" s="5"/>
      <c r="F72" s="5"/>
      <c r="G72" s="5"/>
      <c r="H72" s="5"/>
      <c r="I72" s="5"/>
      <c r="J72" s="5"/>
      <c r="K72" s="5" t="s">
        <v>100</v>
      </c>
    </row>
    <row r="73" spans="1:11" x14ac:dyDescent="0.25">
      <c r="A73" s="24" t="s">
        <v>60</v>
      </c>
      <c r="B73" s="25" t="s">
        <v>100</v>
      </c>
      <c r="C73" s="25"/>
      <c r="D73" s="5"/>
      <c r="E73" s="5"/>
      <c r="F73" s="5"/>
      <c r="G73" s="5"/>
      <c r="H73" s="8"/>
      <c r="I73" s="8"/>
      <c r="J73" s="8"/>
      <c r="K73" s="8"/>
    </row>
    <row r="74" spans="1:11" x14ac:dyDescent="0.25">
      <c r="A74" s="14" t="s">
        <v>17</v>
      </c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x14ac:dyDescent="0.25">
      <c r="A75" s="25" t="s">
        <v>18</v>
      </c>
      <c r="B75" s="25"/>
      <c r="C75" s="25"/>
      <c r="D75" s="5"/>
      <c r="E75" s="5"/>
      <c r="F75" s="5" t="s">
        <v>100</v>
      </c>
      <c r="G75" s="5"/>
      <c r="H75" s="5" t="s">
        <v>100</v>
      </c>
      <c r="I75" s="5" t="s">
        <v>100</v>
      </c>
      <c r="J75" s="5"/>
      <c r="K75" s="5" t="s">
        <v>100</v>
      </c>
    </row>
    <row r="76" spans="1:11" x14ac:dyDescent="0.25">
      <c r="A76" s="14" t="s">
        <v>85</v>
      </c>
      <c r="B76" s="14">
        <f>COUNTA(B3:B75)</f>
        <v>31</v>
      </c>
      <c r="C76" s="14">
        <f t="shared" ref="C76:K76" si="0">COUNTA(C3:C75)</f>
        <v>21</v>
      </c>
      <c r="D76" s="14">
        <f t="shared" si="0"/>
        <v>10</v>
      </c>
      <c r="E76" s="14">
        <f t="shared" si="0"/>
        <v>8</v>
      </c>
      <c r="F76" s="14">
        <f t="shared" si="0"/>
        <v>15</v>
      </c>
      <c r="G76" s="14">
        <f t="shared" si="0"/>
        <v>2</v>
      </c>
      <c r="H76" s="14">
        <f t="shared" si="0"/>
        <v>18</v>
      </c>
      <c r="I76" s="14">
        <f t="shared" si="0"/>
        <v>10</v>
      </c>
      <c r="J76" s="14">
        <f t="shared" si="0"/>
        <v>8</v>
      </c>
      <c r="K76" s="14">
        <f t="shared" si="0"/>
        <v>9</v>
      </c>
    </row>
    <row r="77" spans="1:11" x14ac:dyDescent="0.25">
      <c r="A77">
        <v>67</v>
      </c>
    </row>
    <row r="78" spans="1:11" x14ac:dyDescent="0.25">
      <c r="B78" s="1" t="s">
        <v>90</v>
      </c>
      <c r="C78" s="1" t="s">
        <v>91</v>
      </c>
      <c r="D78" s="1" t="s">
        <v>92</v>
      </c>
      <c r="E78" s="1" t="s">
        <v>93</v>
      </c>
      <c r="F78" s="1" t="s">
        <v>94</v>
      </c>
      <c r="G78" s="1" t="s">
        <v>95</v>
      </c>
      <c r="H78" s="1" t="s">
        <v>101</v>
      </c>
      <c r="I78" s="1" t="s">
        <v>102</v>
      </c>
      <c r="J78" s="1" t="s">
        <v>103</v>
      </c>
      <c r="K78" s="1" t="s">
        <v>104</v>
      </c>
    </row>
    <row r="79" spans="1:11" x14ac:dyDescent="0.25">
      <c r="B79" s="19">
        <v>31</v>
      </c>
      <c r="C79" s="19">
        <v>21</v>
      </c>
      <c r="D79" s="19">
        <v>10</v>
      </c>
      <c r="E79" s="19">
        <v>8</v>
      </c>
      <c r="F79" s="19">
        <v>15</v>
      </c>
      <c r="G79" s="19">
        <v>2</v>
      </c>
      <c r="H79" s="19">
        <v>18</v>
      </c>
      <c r="I79" s="19">
        <v>10</v>
      </c>
      <c r="J79" s="19">
        <v>8</v>
      </c>
      <c r="K79" s="19">
        <v>9</v>
      </c>
    </row>
    <row r="81" spans="12:14" x14ac:dyDescent="0.25">
      <c r="L81" s="14" t="s">
        <v>10</v>
      </c>
      <c r="M81" s="27">
        <v>1</v>
      </c>
      <c r="N81" s="23">
        <f>M81/67</f>
        <v>1.4925373134328358E-2</v>
      </c>
    </row>
    <row r="82" spans="12:14" x14ac:dyDescent="0.25">
      <c r="L82" s="14" t="s">
        <v>12</v>
      </c>
      <c r="M82" s="27">
        <v>3</v>
      </c>
      <c r="N82" s="23">
        <f t="shared" ref="N82:N87" si="1">M82/67</f>
        <v>4.4776119402985072E-2</v>
      </c>
    </row>
    <row r="83" spans="12:14" x14ac:dyDescent="0.25">
      <c r="L83" s="14" t="s">
        <v>13</v>
      </c>
      <c r="M83" s="27">
        <v>30</v>
      </c>
      <c r="N83" s="23">
        <f t="shared" si="1"/>
        <v>0.44776119402985076</v>
      </c>
    </row>
    <row r="84" spans="12:14" x14ac:dyDescent="0.25">
      <c r="L84" s="14" t="s">
        <v>14</v>
      </c>
      <c r="M84" s="27">
        <v>16</v>
      </c>
      <c r="N84" s="23">
        <f t="shared" si="1"/>
        <v>0.23880597014925373</v>
      </c>
    </row>
    <row r="85" spans="12:14" x14ac:dyDescent="0.25">
      <c r="L85" s="14" t="s">
        <v>15</v>
      </c>
      <c r="M85" s="27">
        <v>1</v>
      </c>
      <c r="N85" s="23">
        <f t="shared" si="1"/>
        <v>1.4925373134328358E-2</v>
      </c>
    </row>
    <row r="86" spans="12:14" x14ac:dyDescent="0.25">
      <c r="L86" s="14" t="s">
        <v>16</v>
      </c>
      <c r="M86" s="27">
        <v>15</v>
      </c>
      <c r="N86" s="23">
        <f t="shared" si="1"/>
        <v>0.22388059701492538</v>
      </c>
    </row>
    <row r="87" spans="12:14" x14ac:dyDescent="0.25">
      <c r="L87" s="14" t="s">
        <v>17</v>
      </c>
      <c r="M87" s="27">
        <v>1</v>
      </c>
      <c r="N87" s="23">
        <f t="shared" si="1"/>
        <v>1.4925373134328358E-2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7A36E-A20D-409E-86BF-75206641AB21}">
  <dimension ref="A1:K11"/>
  <sheetViews>
    <sheetView topLeftCell="A12" workbookViewId="0">
      <selection activeCell="M19" sqref="M19"/>
    </sheetView>
  </sheetViews>
  <sheetFormatPr defaultRowHeight="15" x14ac:dyDescent="0.25"/>
  <cols>
    <col min="1" max="1" width="11.140625" bestFit="1" customWidth="1"/>
  </cols>
  <sheetData>
    <row r="1" spans="1:11" x14ac:dyDescent="0.25">
      <c r="A1" s="28"/>
      <c r="B1" s="1" t="s">
        <v>90</v>
      </c>
      <c r="C1" s="1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101</v>
      </c>
      <c r="I1" s="1" t="s">
        <v>102</v>
      </c>
      <c r="J1" s="1" t="s">
        <v>103</v>
      </c>
      <c r="K1" s="1" t="s">
        <v>104</v>
      </c>
    </row>
    <row r="2" spans="1:11" x14ac:dyDescent="0.25">
      <c r="A2" s="1" t="s">
        <v>10</v>
      </c>
      <c r="B2" s="28">
        <v>0</v>
      </c>
      <c r="C2" s="28">
        <f>85*100/C11</f>
        <v>2.0070838252656436</v>
      </c>
      <c r="D2" s="28">
        <v>0</v>
      </c>
      <c r="E2" s="28">
        <v>0</v>
      </c>
      <c r="F2" s="28">
        <v>0</v>
      </c>
      <c r="G2" s="28">
        <v>0</v>
      </c>
      <c r="H2" s="28">
        <v>0</v>
      </c>
      <c r="I2" s="28">
        <v>0</v>
      </c>
      <c r="J2" s="28">
        <v>0</v>
      </c>
      <c r="K2" s="28">
        <v>0</v>
      </c>
    </row>
    <row r="3" spans="1:11" x14ac:dyDescent="0.25">
      <c r="A3" s="1" t="s">
        <v>12</v>
      </c>
      <c r="B3" s="28">
        <f>250*100/48950</f>
        <v>0.51072522982635338</v>
      </c>
      <c r="C3" s="28">
        <v>0</v>
      </c>
      <c r="D3" s="28">
        <f>85*100/D11</f>
        <v>2.768729641693811</v>
      </c>
      <c r="E3" s="28">
        <v>0</v>
      </c>
      <c r="F3" s="28">
        <v>0</v>
      </c>
      <c r="G3" s="28">
        <v>0</v>
      </c>
      <c r="H3" s="28">
        <f>250*100/H11</f>
        <v>1.6382699868938402</v>
      </c>
      <c r="I3" s="28">
        <v>0</v>
      </c>
      <c r="J3" s="28">
        <v>0</v>
      </c>
      <c r="K3" s="28">
        <v>0</v>
      </c>
    </row>
    <row r="4" spans="1:11" x14ac:dyDescent="0.25">
      <c r="A4" s="14" t="s">
        <v>13</v>
      </c>
      <c r="B4" s="28">
        <f>5250*100/B11</f>
        <v>10.725229826353422</v>
      </c>
      <c r="C4" s="28">
        <f>3315*100/C11</f>
        <v>78.276269185360093</v>
      </c>
      <c r="D4" s="28">
        <f>2975*100/D11</f>
        <v>96.905537459283394</v>
      </c>
      <c r="E4" s="28">
        <f>1105*100/E11</f>
        <v>68</v>
      </c>
      <c r="F4" s="28">
        <f>3060*100/F11</f>
        <v>85.714285714285708</v>
      </c>
      <c r="G4" s="28">
        <f>170*100/G11</f>
        <v>100</v>
      </c>
      <c r="H4" s="28">
        <f>14750*100/H11</f>
        <v>96.65792922673657</v>
      </c>
      <c r="I4" s="28">
        <f>510*100/I11</f>
        <v>64.15094339622641</v>
      </c>
      <c r="J4" s="28">
        <f>935*100/J11</f>
        <v>91.666666666666671</v>
      </c>
      <c r="K4" s="28">
        <f>680*100/K11</f>
        <v>79.532163742690059</v>
      </c>
    </row>
    <row r="5" spans="1:11" x14ac:dyDescent="0.25">
      <c r="A5" s="1" t="s">
        <v>14</v>
      </c>
      <c r="B5" s="28">
        <f>14750*100/B11</f>
        <v>30.13278855975485</v>
      </c>
      <c r="C5" s="28">
        <f>510*100/C11</f>
        <v>12.04250295159386</v>
      </c>
      <c r="D5" s="28">
        <v>0</v>
      </c>
      <c r="E5" s="28">
        <f>510*100/E11</f>
        <v>31.384615384615383</v>
      </c>
      <c r="F5" s="28">
        <f>170*100/F11</f>
        <v>4.7619047619047619</v>
      </c>
      <c r="G5" s="28">
        <v>0</v>
      </c>
      <c r="H5" s="28">
        <v>0</v>
      </c>
      <c r="I5" s="28">
        <f>85*100/I11</f>
        <v>10.691823899371069</v>
      </c>
      <c r="J5" s="28">
        <v>0</v>
      </c>
      <c r="K5" s="28">
        <v>0</v>
      </c>
    </row>
    <row r="6" spans="1:11" x14ac:dyDescent="0.25">
      <c r="A6" s="14" t="s">
        <v>15</v>
      </c>
      <c r="B6" s="28">
        <f>250*100/B11</f>
        <v>0.51072522982635338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</row>
    <row r="7" spans="1:11" ht="24" x14ac:dyDescent="0.25">
      <c r="A7" s="1" t="s">
        <v>16</v>
      </c>
      <c r="B7" s="28">
        <f>28450*100/B11</f>
        <v>58.120531154239018</v>
      </c>
      <c r="C7" s="28">
        <f>325*100/C11</f>
        <v>7.6741440377804011</v>
      </c>
      <c r="D7" s="28">
        <f>10*100/D11</f>
        <v>0.32573289902280128</v>
      </c>
      <c r="E7" s="28">
        <f>10*100/E11</f>
        <v>0.61538461538461542</v>
      </c>
      <c r="F7" s="28">
        <f>85*100/F11</f>
        <v>2.3809523809523809</v>
      </c>
      <c r="G7" s="28">
        <v>0</v>
      </c>
      <c r="H7" s="28">
        <f>10*100/H11</f>
        <v>6.5530799475753604E-2</v>
      </c>
      <c r="I7" s="28">
        <f>30*100/I11</f>
        <v>3.7735849056603774</v>
      </c>
      <c r="J7" s="28">
        <f>85*100/J11</f>
        <v>8.3333333333333339</v>
      </c>
      <c r="K7" s="28">
        <f>5*100/K11</f>
        <v>0.58479532163742687</v>
      </c>
    </row>
    <row r="8" spans="1:11" x14ac:dyDescent="0.25">
      <c r="A8" s="1" t="s">
        <v>17</v>
      </c>
      <c r="B8" s="28">
        <v>0</v>
      </c>
      <c r="C8" s="28">
        <v>0</v>
      </c>
      <c r="D8" s="28">
        <v>0</v>
      </c>
      <c r="E8" s="28">
        <v>0</v>
      </c>
      <c r="F8" s="28">
        <f>255*100/F11</f>
        <v>7.1428571428571432</v>
      </c>
      <c r="G8" s="28">
        <v>0</v>
      </c>
      <c r="H8" s="28">
        <f>250*100/H11</f>
        <v>1.6382699868938402</v>
      </c>
      <c r="I8" s="28">
        <f>170*100/I11</f>
        <v>21.383647798742139</v>
      </c>
      <c r="J8" s="28">
        <v>0</v>
      </c>
      <c r="K8" s="28">
        <f>170*100/K11</f>
        <v>19.883040935672515</v>
      </c>
    </row>
    <row r="11" spans="1:11" x14ac:dyDescent="0.25">
      <c r="B11">
        <v>48950</v>
      </c>
      <c r="C11">
        <v>4235</v>
      </c>
      <c r="D11">
        <v>3070</v>
      </c>
      <c r="E11">
        <v>1625</v>
      </c>
      <c r="F11">
        <v>3570</v>
      </c>
      <c r="G11">
        <v>170</v>
      </c>
      <c r="H11">
        <v>15260</v>
      </c>
      <c r="I11">
        <v>795</v>
      </c>
      <c r="J11">
        <v>1020</v>
      </c>
      <c r="K11">
        <v>855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E499C-9537-4679-A894-36C09113B4EE}">
  <dimension ref="A1:P125"/>
  <sheetViews>
    <sheetView tabSelected="1" topLeftCell="K4" workbookViewId="0">
      <selection activeCell="O17" sqref="O17"/>
    </sheetView>
  </sheetViews>
  <sheetFormatPr defaultRowHeight="15" x14ac:dyDescent="0.25"/>
  <cols>
    <col min="1" max="1" width="17.42578125" bestFit="1" customWidth="1"/>
    <col min="2" max="2" width="12.5703125" bestFit="1" customWidth="1"/>
    <col min="3" max="3" width="12" bestFit="1" customWidth="1"/>
    <col min="4" max="4" width="17.42578125" bestFit="1" customWidth="1"/>
    <col min="5" max="5" width="19.28515625" bestFit="1" customWidth="1"/>
    <col min="7" max="7" width="8.140625" bestFit="1" customWidth="1"/>
    <col min="8" max="8" width="12.5703125" bestFit="1" customWidth="1"/>
    <col min="9" max="9" width="12" bestFit="1" customWidth="1"/>
    <col min="10" max="10" width="17.42578125" bestFit="1" customWidth="1"/>
    <col min="11" max="11" width="19.28515625" bestFit="1" customWidth="1"/>
    <col min="13" max="13" width="20.42578125" bestFit="1" customWidth="1"/>
    <col min="14" max="14" width="10.140625" bestFit="1" customWidth="1"/>
    <col min="15" max="15" width="13.85546875" bestFit="1" customWidth="1"/>
    <col min="16" max="16" width="15.5703125" bestFit="1" customWidth="1"/>
  </cols>
  <sheetData>
    <row r="1" spans="1:16" x14ac:dyDescent="0.25">
      <c r="A1" s="19"/>
      <c r="B1" s="1" t="s">
        <v>90</v>
      </c>
      <c r="C1" s="1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101</v>
      </c>
      <c r="I1" s="1" t="s">
        <v>102</v>
      </c>
      <c r="J1" s="1" t="s">
        <v>103</v>
      </c>
      <c r="K1" s="1" t="s">
        <v>104</v>
      </c>
    </row>
    <row r="2" spans="1:16" x14ac:dyDescent="0.25">
      <c r="A2" s="29" t="s">
        <v>105</v>
      </c>
      <c r="B2" s="19">
        <v>31</v>
      </c>
      <c r="C2" s="19">
        <v>21</v>
      </c>
      <c r="D2" s="19">
        <v>10</v>
      </c>
      <c r="E2" s="19">
        <v>8</v>
      </c>
      <c r="F2" s="19">
        <v>15</v>
      </c>
      <c r="G2" s="19">
        <v>2</v>
      </c>
      <c r="H2" s="19">
        <v>18</v>
      </c>
      <c r="I2" s="19">
        <v>10</v>
      </c>
      <c r="J2" s="19">
        <v>8</v>
      </c>
      <c r="K2" s="19">
        <v>9</v>
      </c>
    </row>
    <row r="3" spans="1:16" x14ac:dyDescent="0.25">
      <c r="A3" s="29" t="s">
        <v>106</v>
      </c>
      <c r="B3" s="19">
        <v>2.5499999999999998</v>
      </c>
      <c r="C3" s="19">
        <v>2.48</v>
      </c>
      <c r="D3" s="19">
        <v>1.76</v>
      </c>
      <c r="E3" s="19">
        <v>1.68</v>
      </c>
      <c r="F3" s="28">
        <v>2.2599999999999998</v>
      </c>
      <c r="G3" s="28">
        <v>0.69</v>
      </c>
      <c r="H3" s="28">
        <v>2.2999999999999998</v>
      </c>
      <c r="I3" s="28">
        <v>2.02</v>
      </c>
      <c r="J3" s="28">
        <v>1.81</v>
      </c>
      <c r="K3" s="28">
        <v>2.0499999999999998</v>
      </c>
    </row>
    <row r="4" spans="1:16" x14ac:dyDescent="0.25">
      <c r="A4" s="29" t="s">
        <v>107</v>
      </c>
      <c r="B4" s="19">
        <f>B3/B7</f>
        <v>0.74257702436090423</v>
      </c>
      <c r="C4" s="19">
        <f t="shared" ref="C4:K4" si="0">C3/C7</f>
        <v>0.8145776721075666</v>
      </c>
      <c r="D4" s="19">
        <f t="shared" si="0"/>
        <v>0.76435828814972318</v>
      </c>
      <c r="E4" s="19">
        <f t="shared" si="0"/>
        <v>0.80790922289781952</v>
      </c>
      <c r="F4" s="19">
        <f t="shared" si="0"/>
        <v>0.83454878313561243</v>
      </c>
      <c r="G4" s="19">
        <f t="shared" si="0"/>
        <v>0.99545957821338471</v>
      </c>
      <c r="H4" s="19">
        <f t="shared" si="0"/>
        <v>0.79574538940074524</v>
      </c>
      <c r="I4" s="19">
        <f t="shared" si="0"/>
        <v>0.87727485344456857</v>
      </c>
      <c r="J4" s="19">
        <f t="shared" si="0"/>
        <v>0.87042600800300807</v>
      </c>
      <c r="K4" s="19">
        <f t="shared" si="0"/>
        <v>0.93299520729250818</v>
      </c>
    </row>
    <row r="5" spans="1:16" x14ac:dyDescent="0.25">
      <c r="A5" s="30"/>
      <c r="B5" s="21"/>
      <c r="C5" s="21"/>
      <c r="D5" s="21"/>
      <c r="E5" s="21"/>
      <c r="H5" s="21"/>
      <c r="I5" s="21"/>
      <c r="J5" s="21"/>
      <c r="K5" s="21"/>
    </row>
    <row r="6" spans="1:16" x14ac:dyDescent="0.25">
      <c r="A6" s="29" t="s">
        <v>108</v>
      </c>
      <c r="B6" s="1" t="s">
        <v>90</v>
      </c>
      <c r="C6" s="1" t="s">
        <v>91</v>
      </c>
      <c r="D6" s="1" t="s">
        <v>92</v>
      </c>
      <c r="E6" s="1" t="s">
        <v>93</v>
      </c>
      <c r="F6" s="1" t="s">
        <v>94</v>
      </c>
      <c r="G6" s="1" t="s">
        <v>95</v>
      </c>
      <c r="H6" s="1" t="s">
        <v>101</v>
      </c>
      <c r="I6" s="1" t="s">
        <v>102</v>
      </c>
      <c r="J6" s="1" t="s">
        <v>103</v>
      </c>
      <c r="K6" s="1" t="s">
        <v>104</v>
      </c>
    </row>
    <row r="7" spans="1:16" x14ac:dyDescent="0.25">
      <c r="A7" s="29"/>
      <c r="B7" s="19">
        <f>LN(B2)</f>
        <v>3.4339872044851463</v>
      </c>
      <c r="C7" s="19">
        <f t="shared" ref="C7:K7" si="1">LN(C2)</f>
        <v>3.044522437723423</v>
      </c>
      <c r="D7" s="19">
        <f t="shared" si="1"/>
        <v>2.3025850929940459</v>
      </c>
      <c r="E7" s="19">
        <f t="shared" si="1"/>
        <v>2.0794415416798357</v>
      </c>
      <c r="F7" s="19">
        <f t="shared" si="1"/>
        <v>2.7080502011022101</v>
      </c>
      <c r="G7" s="19">
        <f t="shared" si="1"/>
        <v>0.69314718055994529</v>
      </c>
      <c r="H7" s="19">
        <f t="shared" si="1"/>
        <v>2.8903717578961645</v>
      </c>
      <c r="I7" s="19">
        <f t="shared" si="1"/>
        <v>2.3025850929940459</v>
      </c>
      <c r="J7" s="19">
        <f t="shared" si="1"/>
        <v>2.0794415416798357</v>
      </c>
      <c r="K7" s="19">
        <f t="shared" si="1"/>
        <v>2.1972245773362196</v>
      </c>
    </row>
    <row r="8" spans="1:16" x14ac:dyDescent="0.25">
      <c r="A8" s="30"/>
      <c r="B8" s="21"/>
      <c r="C8" s="21"/>
      <c r="D8" s="21"/>
      <c r="E8" s="21"/>
      <c r="H8" s="21"/>
      <c r="I8" s="21"/>
      <c r="J8" s="21"/>
      <c r="K8" s="21"/>
    </row>
    <row r="9" spans="1:16" ht="15.75" x14ac:dyDescent="0.25">
      <c r="A9" s="36" t="s">
        <v>109</v>
      </c>
      <c r="B9" s="36"/>
      <c r="C9" s="36"/>
      <c r="D9" s="36"/>
      <c r="E9" s="36"/>
      <c r="G9" s="36" t="s">
        <v>110</v>
      </c>
      <c r="H9" s="36"/>
      <c r="I9" s="36"/>
      <c r="J9" s="36"/>
      <c r="K9" s="36"/>
      <c r="M9" s="35" t="s">
        <v>155</v>
      </c>
      <c r="N9" s="35" t="s">
        <v>156</v>
      </c>
      <c r="O9" s="35"/>
      <c r="P9" s="35"/>
    </row>
    <row r="10" spans="1:16" ht="15.75" x14ac:dyDescent="0.25">
      <c r="A10" s="31" t="s">
        <v>111</v>
      </c>
      <c r="B10" s="31" t="s">
        <v>112</v>
      </c>
      <c r="C10" s="31" t="s">
        <v>113</v>
      </c>
      <c r="D10" s="31" t="s">
        <v>114</v>
      </c>
      <c r="E10" s="31" t="s">
        <v>115</v>
      </c>
      <c r="G10" s="31" t="s">
        <v>111</v>
      </c>
      <c r="H10" s="31" t="s">
        <v>112</v>
      </c>
      <c r="I10" s="31" t="s">
        <v>113</v>
      </c>
      <c r="J10" s="31" t="s">
        <v>114</v>
      </c>
      <c r="K10" s="31" t="s">
        <v>115</v>
      </c>
      <c r="M10" s="35"/>
      <c r="N10" s="14" t="s">
        <v>105</v>
      </c>
      <c r="O10" s="14" t="s">
        <v>157</v>
      </c>
      <c r="P10" s="14" t="s">
        <v>158</v>
      </c>
    </row>
    <row r="11" spans="1:16" x14ac:dyDescent="0.25">
      <c r="A11" s="28" t="s">
        <v>116</v>
      </c>
      <c r="B11" s="13">
        <v>250</v>
      </c>
      <c r="C11" s="28">
        <f>B11/48950</f>
        <v>5.1072522982635342E-3</v>
      </c>
      <c r="D11" s="28">
        <f>LN(C11)</f>
        <v>-5.2770937300964098</v>
      </c>
      <c r="E11" s="28">
        <f>C11*D11</f>
        <v>-2.6951449081186976E-2</v>
      </c>
      <c r="G11" s="28" t="s">
        <v>116</v>
      </c>
      <c r="H11" s="4">
        <v>85</v>
      </c>
      <c r="I11" s="28">
        <f>H11/4235</f>
        <v>2.0070838252656435E-2</v>
      </c>
      <c r="J11" s="28">
        <f>LN(I11)</f>
        <v>-3.9084873505958382</v>
      </c>
      <c r="K11" s="28">
        <f>I11*J11</f>
        <v>-7.8446617426362747E-2</v>
      </c>
      <c r="M11" s="7" t="s">
        <v>90</v>
      </c>
      <c r="N11" s="8">
        <v>31</v>
      </c>
      <c r="O11" s="8">
        <v>2.5499999999999998</v>
      </c>
      <c r="P11" s="33">
        <v>0.74257702436090423</v>
      </c>
    </row>
    <row r="12" spans="1:16" x14ac:dyDescent="0.25">
      <c r="A12" s="28" t="s">
        <v>117</v>
      </c>
      <c r="B12" s="13">
        <v>250</v>
      </c>
      <c r="C12" s="28">
        <f t="shared" ref="C12:C41" si="2">B12/48950</f>
        <v>5.1072522982635342E-3</v>
      </c>
      <c r="D12" s="28">
        <f t="shared" ref="D12:D41" si="3">LN(C12)</f>
        <v>-5.2770937300964098</v>
      </c>
      <c r="E12" s="28">
        <f t="shared" ref="E12:E41" si="4">C12*D12</f>
        <v>-2.6951449081186976E-2</v>
      </c>
      <c r="G12" s="28" t="s">
        <v>117</v>
      </c>
      <c r="H12" s="13">
        <v>255</v>
      </c>
      <c r="I12" s="28">
        <f t="shared" ref="I12:I31" si="5">H12/4235</f>
        <v>6.02125147579693E-2</v>
      </c>
      <c r="J12" s="28">
        <f t="shared" ref="J12:J31" si="6">LN(I12)</f>
        <v>-2.8098750619277286</v>
      </c>
      <c r="K12" s="28">
        <f t="shared" ref="K12:K31" si="7">I12*J12</f>
        <v>-0.16918964363437325</v>
      </c>
      <c r="M12" s="7" t="s">
        <v>91</v>
      </c>
      <c r="N12" s="8">
        <v>21</v>
      </c>
      <c r="O12" s="8">
        <v>2.48</v>
      </c>
      <c r="P12" s="33">
        <v>0.8145776721075666</v>
      </c>
    </row>
    <row r="13" spans="1:16" x14ac:dyDescent="0.25">
      <c r="A13" s="28" t="s">
        <v>118</v>
      </c>
      <c r="B13" s="13">
        <v>3000</v>
      </c>
      <c r="C13" s="28">
        <f t="shared" si="2"/>
        <v>6.1287027579162413E-2</v>
      </c>
      <c r="D13" s="28">
        <f t="shared" si="3"/>
        <v>-2.7921870803084095</v>
      </c>
      <c r="E13" s="28">
        <f t="shared" si="4"/>
        <v>-0.17112484659704247</v>
      </c>
      <c r="G13" s="28" t="s">
        <v>118</v>
      </c>
      <c r="H13" s="13">
        <v>85</v>
      </c>
      <c r="I13" s="28">
        <f t="shared" si="5"/>
        <v>2.0070838252656435E-2</v>
      </c>
      <c r="J13" s="28">
        <f t="shared" si="6"/>
        <v>-3.9084873505958382</v>
      </c>
      <c r="K13" s="28">
        <f t="shared" si="7"/>
        <v>-7.8446617426362747E-2</v>
      </c>
      <c r="M13" s="7" t="s">
        <v>92</v>
      </c>
      <c r="N13" s="8">
        <v>10</v>
      </c>
      <c r="O13" s="8">
        <v>1.76</v>
      </c>
      <c r="P13" s="33">
        <v>0.76435828814972318</v>
      </c>
    </row>
    <row r="14" spans="1:16" x14ac:dyDescent="0.25">
      <c r="A14" s="28" t="s">
        <v>119</v>
      </c>
      <c r="B14" s="13">
        <v>250</v>
      </c>
      <c r="C14" s="28">
        <f t="shared" si="2"/>
        <v>5.1072522982635342E-3</v>
      </c>
      <c r="D14" s="28">
        <f t="shared" si="3"/>
        <v>-5.2770937300964098</v>
      </c>
      <c r="E14" s="28">
        <f t="shared" si="4"/>
        <v>-2.6951449081186976E-2</v>
      </c>
      <c r="G14" s="28" t="s">
        <v>119</v>
      </c>
      <c r="H14" s="13">
        <v>170</v>
      </c>
      <c r="I14" s="28">
        <f t="shared" si="5"/>
        <v>4.0141676505312869E-2</v>
      </c>
      <c r="J14" s="28">
        <f t="shared" si="6"/>
        <v>-3.2153401700358928</v>
      </c>
      <c r="K14" s="28">
        <f t="shared" si="7"/>
        <v>-0.12906914496011848</v>
      </c>
      <c r="M14" s="7" t="s">
        <v>93</v>
      </c>
      <c r="N14" s="8">
        <v>8</v>
      </c>
      <c r="O14" s="8">
        <v>1.68</v>
      </c>
      <c r="P14" s="33">
        <v>0.80790922289781952</v>
      </c>
    </row>
    <row r="15" spans="1:16" x14ac:dyDescent="0.25">
      <c r="A15" s="28" t="s">
        <v>120</v>
      </c>
      <c r="B15" s="13">
        <v>1250</v>
      </c>
      <c r="C15" s="28">
        <f t="shared" si="2"/>
        <v>2.5536261491317672E-2</v>
      </c>
      <c r="D15" s="28">
        <f t="shared" si="3"/>
        <v>-3.6676558176623097</v>
      </c>
      <c r="E15" s="28">
        <f t="shared" si="4"/>
        <v>-9.3658218019977271E-2</v>
      </c>
      <c r="G15" s="28" t="s">
        <v>120</v>
      </c>
      <c r="H15" s="13">
        <v>170</v>
      </c>
      <c r="I15" s="28">
        <f t="shared" si="5"/>
        <v>4.0141676505312869E-2</v>
      </c>
      <c r="J15" s="28">
        <f t="shared" si="6"/>
        <v>-3.2153401700358928</v>
      </c>
      <c r="K15" s="28">
        <f t="shared" si="7"/>
        <v>-0.12906914496011848</v>
      </c>
      <c r="M15" s="7" t="s">
        <v>94</v>
      </c>
      <c r="N15" s="8">
        <v>15</v>
      </c>
      <c r="O15" s="8">
        <v>2.2599999999999998</v>
      </c>
      <c r="P15" s="33">
        <v>0.83454878313561243</v>
      </c>
    </row>
    <row r="16" spans="1:16" x14ac:dyDescent="0.25">
      <c r="A16" s="28" t="s">
        <v>121</v>
      </c>
      <c r="B16" s="13">
        <v>500</v>
      </c>
      <c r="C16" s="28">
        <f t="shared" si="2"/>
        <v>1.0214504596527068E-2</v>
      </c>
      <c r="D16" s="28">
        <f t="shared" si="3"/>
        <v>-4.5839465495364644</v>
      </c>
      <c r="E16" s="28">
        <f t="shared" si="4"/>
        <v>-4.6822743100474608E-2</v>
      </c>
      <c r="G16" s="28" t="s">
        <v>121</v>
      </c>
      <c r="H16" s="13">
        <v>1360</v>
      </c>
      <c r="I16" s="28">
        <f t="shared" si="5"/>
        <v>0.32113341204250295</v>
      </c>
      <c r="J16" s="28">
        <f t="shared" si="6"/>
        <v>-1.135898628356057</v>
      </c>
      <c r="K16" s="28">
        <f t="shared" si="7"/>
        <v>-0.36477500225837961</v>
      </c>
      <c r="M16" s="7" t="s">
        <v>95</v>
      </c>
      <c r="N16" s="8">
        <v>2</v>
      </c>
      <c r="O16" s="8">
        <v>0.69</v>
      </c>
      <c r="P16" s="33">
        <v>0.99545957821338471</v>
      </c>
    </row>
    <row r="17" spans="1:16" x14ac:dyDescent="0.25">
      <c r="A17" s="28" t="s">
        <v>122</v>
      </c>
      <c r="B17" s="7">
        <v>250</v>
      </c>
      <c r="C17" s="28">
        <f t="shared" si="2"/>
        <v>5.1072522982635342E-3</v>
      </c>
      <c r="D17" s="28">
        <f t="shared" si="3"/>
        <v>-5.2770937300964098</v>
      </c>
      <c r="E17" s="28">
        <f t="shared" si="4"/>
        <v>-2.6951449081186976E-2</v>
      </c>
      <c r="G17" s="28" t="s">
        <v>122</v>
      </c>
      <c r="H17" s="13">
        <v>85</v>
      </c>
      <c r="I17" s="28">
        <f t="shared" si="5"/>
        <v>2.0070838252656435E-2</v>
      </c>
      <c r="J17" s="28">
        <f t="shared" si="6"/>
        <v>-3.9084873505958382</v>
      </c>
      <c r="K17" s="28">
        <f t="shared" si="7"/>
        <v>-7.8446617426362747E-2</v>
      </c>
      <c r="M17" s="7" t="s">
        <v>101</v>
      </c>
      <c r="N17" s="8">
        <v>18</v>
      </c>
      <c r="O17" s="8">
        <v>2.2999999999999998</v>
      </c>
      <c r="P17" s="33">
        <v>0.79574538940074524</v>
      </c>
    </row>
    <row r="18" spans="1:16" x14ac:dyDescent="0.25">
      <c r="A18" s="28" t="s">
        <v>123</v>
      </c>
      <c r="B18" s="13">
        <v>5000</v>
      </c>
      <c r="C18" s="28">
        <f t="shared" si="2"/>
        <v>0.10214504596527069</v>
      </c>
      <c r="D18" s="28">
        <f t="shared" si="3"/>
        <v>-2.281361456542419</v>
      </c>
      <c r="E18" s="28">
        <f t="shared" si="4"/>
        <v>-0.23302977084192228</v>
      </c>
      <c r="G18" s="28" t="s">
        <v>123</v>
      </c>
      <c r="H18" s="13">
        <v>85</v>
      </c>
      <c r="I18" s="28">
        <f t="shared" si="5"/>
        <v>2.0070838252656435E-2</v>
      </c>
      <c r="J18" s="28">
        <f t="shared" si="6"/>
        <v>-3.9084873505958382</v>
      </c>
      <c r="K18" s="28">
        <f t="shared" si="7"/>
        <v>-7.8446617426362747E-2</v>
      </c>
      <c r="M18" s="7" t="s">
        <v>102</v>
      </c>
      <c r="N18" s="8">
        <v>10</v>
      </c>
      <c r="O18" s="8">
        <v>2.02</v>
      </c>
      <c r="P18" s="33">
        <v>0.87727485344456857</v>
      </c>
    </row>
    <row r="19" spans="1:16" x14ac:dyDescent="0.25">
      <c r="A19" s="28" t="s">
        <v>124</v>
      </c>
      <c r="B19" s="13">
        <v>750</v>
      </c>
      <c r="C19" s="28">
        <f t="shared" si="2"/>
        <v>1.5321756894790603E-2</v>
      </c>
      <c r="D19" s="28">
        <f t="shared" si="3"/>
        <v>-4.1784814414283007</v>
      </c>
      <c r="E19" s="28">
        <f t="shared" si="4"/>
        <v>-6.4021676834958643E-2</v>
      </c>
      <c r="G19" s="28" t="s">
        <v>124</v>
      </c>
      <c r="H19" s="13">
        <v>85</v>
      </c>
      <c r="I19" s="28">
        <f t="shared" si="5"/>
        <v>2.0070838252656435E-2</v>
      </c>
      <c r="J19" s="28">
        <f t="shared" si="6"/>
        <v>-3.9084873505958382</v>
      </c>
      <c r="K19" s="28">
        <f t="shared" si="7"/>
        <v>-7.8446617426362747E-2</v>
      </c>
      <c r="M19" s="7" t="s">
        <v>103</v>
      </c>
      <c r="N19" s="8">
        <v>8</v>
      </c>
      <c r="O19" s="8">
        <v>1.81</v>
      </c>
      <c r="P19" s="33">
        <v>0.87042600800300807</v>
      </c>
    </row>
    <row r="20" spans="1:16" x14ac:dyDescent="0.25">
      <c r="A20" s="28" t="s">
        <v>125</v>
      </c>
      <c r="B20" s="13">
        <v>250</v>
      </c>
      <c r="C20" s="28">
        <f t="shared" si="2"/>
        <v>5.1072522982635342E-3</v>
      </c>
      <c r="D20" s="28">
        <f t="shared" si="3"/>
        <v>-5.2770937300964098</v>
      </c>
      <c r="E20" s="28">
        <f t="shared" si="4"/>
        <v>-2.6951449081186976E-2</v>
      </c>
      <c r="G20" s="28" t="s">
        <v>125</v>
      </c>
      <c r="H20" s="13">
        <v>595</v>
      </c>
      <c r="I20" s="28">
        <f t="shared" si="5"/>
        <v>0.14049586776859505</v>
      </c>
      <c r="J20" s="28">
        <f t="shared" si="6"/>
        <v>-1.962577201540525</v>
      </c>
      <c r="K20" s="28">
        <f t="shared" si="7"/>
        <v>-0.27573398699329688</v>
      </c>
      <c r="M20" s="7" t="s">
        <v>104</v>
      </c>
      <c r="N20" s="8">
        <v>9</v>
      </c>
      <c r="O20" s="8">
        <v>2.0499999999999998</v>
      </c>
      <c r="P20" s="33">
        <v>0.93299520729250818</v>
      </c>
    </row>
    <row r="21" spans="1:16" x14ac:dyDescent="0.25">
      <c r="A21" s="28" t="s">
        <v>134</v>
      </c>
      <c r="B21" s="13">
        <v>500</v>
      </c>
      <c r="C21" s="28">
        <f t="shared" si="2"/>
        <v>1.0214504596527068E-2</v>
      </c>
      <c r="D21" s="28">
        <f t="shared" si="3"/>
        <v>-4.5839465495364644</v>
      </c>
      <c r="E21" s="28">
        <f t="shared" si="4"/>
        <v>-4.6822743100474608E-2</v>
      </c>
      <c r="G21" s="28" t="s">
        <v>134</v>
      </c>
      <c r="H21" s="13">
        <v>170</v>
      </c>
      <c r="I21" s="28">
        <f t="shared" si="5"/>
        <v>4.0141676505312869E-2</v>
      </c>
      <c r="J21" s="28">
        <f t="shared" si="6"/>
        <v>-3.2153401700358928</v>
      </c>
      <c r="K21" s="28">
        <f t="shared" si="7"/>
        <v>-0.12906914496011848</v>
      </c>
    </row>
    <row r="22" spans="1:16" x14ac:dyDescent="0.25">
      <c r="A22" s="28" t="s">
        <v>135</v>
      </c>
      <c r="B22" s="13">
        <v>1250</v>
      </c>
      <c r="C22" s="28">
        <f t="shared" si="2"/>
        <v>2.5536261491317672E-2</v>
      </c>
      <c r="D22" s="28">
        <f t="shared" si="3"/>
        <v>-3.6676558176623097</v>
      </c>
      <c r="E22" s="28">
        <f t="shared" si="4"/>
        <v>-9.3658218019977271E-2</v>
      </c>
      <c r="G22" s="28" t="s">
        <v>135</v>
      </c>
      <c r="H22" s="13">
        <v>85</v>
      </c>
      <c r="I22" s="28">
        <f t="shared" si="5"/>
        <v>2.0070838252656435E-2</v>
      </c>
      <c r="J22" s="28">
        <f t="shared" si="6"/>
        <v>-3.9084873505958382</v>
      </c>
      <c r="K22" s="28">
        <f t="shared" si="7"/>
        <v>-7.8446617426362747E-2</v>
      </c>
    </row>
    <row r="23" spans="1:16" x14ac:dyDescent="0.25">
      <c r="A23" s="28" t="s">
        <v>136</v>
      </c>
      <c r="B23" s="13">
        <v>250</v>
      </c>
      <c r="C23" s="28">
        <f t="shared" si="2"/>
        <v>5.1072522982635342E-3</v>
      </c>
      <c r="D23" s="28">
        <f t="shared" si="3"/>
        <v>-5.2770937300964098</v>
      </c>
      <c r="E23" s="28">
        <f t="shared" si="4"/>
        <v>-2.6951449081186976E-2</v>
      </c>
      <c r="G23" s="28" t="s">
        <v>136</v>
      </c>
      <c r="H23" s="13">
        <v>85</v>
      </c>
      <c r="I23" s="28">
        <f t="shared" si="5"/>
        <v>2.0070838252656435E-2</v>
      </c>
      <c r="J23" s="28">
        <f t="shared" si="6"/>
        <v>-3.9084873505958382</v>
      </c>
      <c r="K23" s="28">
        <f t="shared" si="7"/>
        <v>-7.8446617426362747E-2</v>
      </c>
    </row>
    <row r="24" spans="1:16" x14ac:dyDescent="0.25">
      <c r="A24" s="28" t="s">
        <v>137</v>
      </c>
      <c r="B24" s="13">
        <v>250</v>
      </c>
      <c r="C24" s="28">
        <f t="shared" si="2"/>
        <v>5.1072522982635342E-3</v>
      </c>
      <c r="D24" s="28">
        <f t="shared" si="3"/>
        <v>-5.2770937300964098</v>
      </c>
      <c r="E24" s="28">
        <f t="shared" si="4"/>
        <v>-2.6951449081186976E-2</v>
      </c>
      <c r="G24" s="28" t="s">
        <v>137</v>
      </c>
      <c r="H24" s="13">
        <v>85</v>
      </c>
      <c r="I24" s="28">
        <f t="shared" si="5"/>
        <v>2.0070838252656435E-2</v>
      </c>
      <c r="J24" s="28">
        <f t="shared" si="6"/>
        <v>-3.9084873505958382</v>
      </c>
      <c r="K24" s="28">
        <f t="shared" si="7"/>
        <v>-7.8446617426362747E-2</v>
      </c>
    </row>
    <row r="25" spans="1:16" x14ac:dyDescent="0.25">
      <c r="A25" s="28" t="s">
        <v>138</v>
      </c>
      <c r="B25" s="13">
        <v>250</v>
      </c>
      <c r="C25" s="28">
        <f t="shared" si="2"/>
        <v>5.1072522982635342E-3</v>
      </c>
      <c r="D25" s="28">
        <f t="shared" si="3"/>
        <v>-5.2770937300964098</v>
      </c>
      <c r="E25" s="28">
        <f t="shared" si="4"/>
        <v>-2.6951449081186976E-2</v>
      </c>
      <c r="G25" s="28" t="s">
        <v>138</v>
      </c>
      <c r="H25" s="13">
        <v>85</v>
      </c>
      <c r="I25" s="28">
        <f t="shared" si="5"/>
        <v>2.0070838252656435E-2</v>
      </c>
      <c r="J25" s="28">
        <f t="shared" si="6"/>
        <v>-3.9084873505958382</v>
      </c>
      <c r="K25" s="28">
        <f t="shared" si="7"/>
        <v>-7.8446617426362747E-2</v>
      </c>
    </row>
    <row r="26" spans="1:16" x14ac:dyDescent="0.25">
      <c r="A26" s="28" t="s">
        <v>139</v>
      </c>
      <c r="B26" s="13">
        <v>250</v>
      </c>
      <c r="C26" s="28">
        <f t="shared" si="2"/>
        <v>5.1072522982635342E-3</v>
      </c>
      <c r="D26" s="28">
        <f t="shared" si="3"/>
        <v>-5.2770937300964098</v>
      </c>
      <c r="E26" s="28">
        <f t="shared" si="4"/>
        <v>-2.6951449081186976E-2</v>
      </c>
      <c r="G26" s="28" t="s">
        <v>139</v>
      </c>
      <c r="H26" s="13">
        <v>340</v>
      </c>
      <c r="I26" s="28">
        <f t="shared" si="5"/>
        <v>8.0283353010625738E-2</v>
      </c>
      <c r="J26" s="28">
        <f t="shared" si="6"/>
        <v>-2.5221929894759478</v>
      </c>
      <c r="K26" s="28">
        <f t="shared" si="7"/>
        <v>-0.20249011013502297</v>
      </c>
    </row>
    <row r="27" spans="1:16" x14ac:dyDescent="0.25">
      <c r="A27" s="28" t="s">
        <v>140</v>
      </c>
      <c r="B27" s="13">
        <v>250</v>
      </c>
      <c r="C27" s="28">
        <f t="shared" si="2"/>
        <v>5.1072522982635342E-3</v>
      </c>
      <c r="D27" s="28">
        <f t="shared" si="3"/>
        <v>-5.2770937300964098</v>
      </c>
      <c r="E27" s="28">
        <f t="shared" si="4"/>
        <v>-2.6951449081186976E-2</v>
      </c>
      <c r="G27" s="28" t="s">
        <v>140</v>
      </c>
      <c r="H27" s="13">
        <v>85</v>
      </c>
      <c r="I27" s="28">
        <f t="shared" si="5"/>
        <v>2.0070838252656435E-2</v>
      </c>
      <c r="J27" s="28">
        <f t="shared" si="6"/>
        <v>-3.9084873505958382</v>
      </c>
      <c r="K27" s="28">
        <f t="shared" si="7"/>
        <v>-7.8446617426362747E-2</v>
      </c>
    </row>
    <row r="28" spans="1:16" x14ac:dyDescent="0.25">
      <c r="A28" s="28" t="s">
        <v>141</v>
      </c>
      <c r="B28" s="13">
        <v>5000</v>
      </c>
      <c r="C28" s="28">
        <f t="shared" si="2"/>
        <v>0.10214504596527069</v>
      </c>
      <c r="D28" s="28">
        <f t="shared" si="3"/>
        <v>-2.281361456542419</v>
      </c>
      <c r="E28" s="28">
        <f t="shared" si="4"/>
        <v>-0.23302977084192228</v>
      </c>
      <c r="G28" s="28" t="s">
        <v>141</v>
      </c>
      <c r="H28" s="13">
        <v>85</v>
      </c>
      <c r="I28" s="28">
        <f t="shared" si="5"/>
        <v>2.0070838252656435E-2</v>
      </c>
      <c r="J28" s="28">
        <f t="shared" si="6"/>
        <v>-3.9084873505958382</v>
      </c>
      <c r="K28" s="28">
        <f t="shared" si="7"/>
        <v>-7.8446617426362747E-2</v>
      </c>
    </row>
    <row r="29" spans="1:16" x14ac:dyDescent="0.25">
      <c r="A29" s="28" t="s">
        <v>142</v>
      </c>
      <c r="B29" s="13">
        <v>500</v>
      </c>
      <c r="C29" s="28">
        <f t="shared" si="2"/>
        <v>1.0214504596527068E-2</v>
      </c>
      <c r="D29" s="28">
        <f t="shared" si="3"/>
        <v>-4.5839465495364644</v>
      </c>
      <c r="E29" s="28">
        <f t="shared" si="4"/>
        <v>-4.6822743100474608E-2</v>
      </c>
      <c r="G29" s="28" t="s">
        <v>142</v>
      </c>
      <c r="H29" s="13">
        <v>60</v>
      </c>
      <c r="I29" s="28">
        <f t="shared" si="5"/>
        <v>1.4167650531286895E-2</v>
      </c>
      <c r="J29" s="28">
        <f t="shared" si="6"/>
        <v>-4.256794044864054</v>
      </c>
      <c r="K29" s="28">
        <f t="shared" si="7"/>
        <v>-6.0308770411297105E-2</v>
      </c>
    </row>
    <row r="30" spans="1:16" x14ac:dyDescent="0.25">
      <c r="A30" s="28" t="s">
        <v>143</v>
      </c>
      <c r="B30" s="13">
        <v>250</v>
      </c>
      <c r="C30" s="28">
        <f t="shared" si="2"/>
        <v>5.1072522982635342E-3</v>
      </c>
      <c r="D30" s="28">
        <f t="shared" si="3"/>
        <v>-5.2770937300964098</v>
      </c>
      <c r="E30" s="28">
        <f t="shared" si="4"/>
        <v>-2.6951449081186976E-2</v>
      </c>
      <c r="G30" s="28" t="s">
        <v>143</v>
      </c>
      <c r="H30" s="13">
        <v>120</v>
      </c>
      <c r="I30" s="28">
        <f t="shared" si="5"/>
        <v>2.833530106257379E-2</v>
      </c>
      <c r="J30" s="28">
        <f t="shared" si="6"/>
        <v>-3.5636468643041086</v>
      </c>
      <c r="K30" s="28">
        <f t="shared" si="7"/>
        <v>-0.10097700678075397</v>
      </c>
    </row>
    <row r="31" spans="1:16" x14ac:dyDescent="0.25">
      <c r="A31" s="28" t="s">
        <v>144</v>
      </c>
      <c r="B31" s="13">
        <v>10750</v>
      </c>
      <c r="C31" s="28">
        <f t="shared" si="2"/>
        <v>0.21961184882533197</v>
      </c>
      <c r="D31" s="28">
        <f t="shared" si="3"/>
        <v>-1.5158936144028476</v>
      </c>
      <c r="E31" s="28">
        <f t="shared" si="4"/>
        <v>-0.33290819928152426</v>
      </c>
      <c r="G31" s="28" t="s">
        <v>144</v>
      </c>
      <c r="H31" s="13">
        <v>60</v>
      </c>
      <c r="I31" s="28">
        <f t="shared" si="5"/>
        <v>1.4167650531286895E-2</v>
      </c>
      <c r="J31" s="28">
        <f t="shared" si="6"/>
        <v>-4.256794044864054</v>
      </c>
      <c r="K31" s="28">
        <f t="shared" si="7"/>
        <v>-6.0308770411297105E-2</v>
      </c>
    </row>
    <row r="32" spans="1:16" x14ac:dyDescent="0.25">
      <c r="A32" s="28" t="s">
        <v>145</v>
      </c>
      <c r="B32" s="13">
        <v>6700</v>
      </c>
      <c r="C32" s="28">
        <f t="shared" si="2"/>
        <v>0.13687436159346272</v>
      </c>
      <c r="D32" s="28">
        <f t="shared" si="3"/>
        <v>-1.988691842579599</v>
      </c>
      <c r="E32" s="28">
        <f t="shared" si="4"/>
        <v>-0.27220092635920967</v>
      </c>
      <c r="G32" s="28" t="s">
        <v>145</v>
      </c>
      <c r="H32" s="13"/>
      <c r="I32" s="28"/>
      <c r="J32" s="28"/>
      <c r="K32" s="32"/>
    </row>
    <row r="33" spans="1:11" x14ac:dyDescent="0.25">
      <c r="A33" s="28" t="s">
        <v>146</v>
      </c>
      <c r="B33" s="13">
        <v>100</v>
      </c>
      <c r="C33" s="28">
        <f t="shared" si="2"/>
        <v>2.0429009193054137E-3</v>
      </c>
      <c r="D33" s="28">
        <f t="shared" si="3"/>
        <v>-6.1933844619705649</v>
      </c>
      <c r="E33" s="28">
        <f t="shared" si="4"/>
        <v>-1.2652470810971532E-2</v>
      </c>
      <c r="G33" s="28" t="s">
        <v>146</v>
      </c>
      <c r="H33" s="28"/>
      <c r="I33" s="28"/>
      <c r="J33" s="28"/>
      <c r="K33" s="32">
        <f>SUM(K11:K31)*-1</f>
        <v>2.4839035171947668</v>
      </c>
    </row>
    <row r="34" spans="1:11" x14ac:dyDescent="0.25">
      <c r="A34" s="28" t="s">
        <v>147</v>
      </c>
      <c r="B34" s="13">
        <v>100</v>
      </c>
      <c r="C34" s="28">
        <f t="shared" si="2"/>
        <v>2.0429009193054137E-3</v>
      </c>
      <c r="D34" s="28">
        <f t="shared" si="3"/>
        <v>-6.1933844619705649</v>
      </c>
      <c r="E34" s="28">
        <f t="shared" si="4"/>
        <v>-1.2652470810971532E-2</v>
      </c>
      <c r="G34" s="28" t="s">
        <v>147</v>
      </c>
      <c r="H34" s="28"/>
      <c r="I34" s="28"/>
      <c r="J34" s="28"/>
      <c r="K34" s="32"/>
    </row>
    <row r="35" spans="1:11" x14ac:dyDescent="0.25">
      <c r="A35" s="28" t="s">
        <v>148</v>
      </c>
      <c r="B35" s="13">
        <v>600</v>
      </c>
      <c r="C35" s="28">
        <f t="shared" si="2"/>
        <v>1.2257405515832482E-2</v>
      </c>
      <c r="D35" s="28">
        <f t="shared" si="3"/>
        <v>-4.4016249927425104</v>
      </c>
      <c r="E35" s="28">
        <f t="shared" si="4"/>
        <v>-5.3952502464668151E-2</v>
      </c>
      <c r="G35" s="28" t="s">
        <v>148</v>
      </c>
      <c r="H35" s="28"/>
      <c r="I35" s="28"/>
      <c r="J35" s="28"/>
      <c r="K35" s="32"/>
    </row>
    <row r="36" spans="1:11" x14ac:dyDescent="0.25">
      <c r="A36" s="28" t="s">
        <v>149</v>
      </c>
      <c r="B36" s="13">
        <v>1900</v>
      </c>
      <c r="C36" s="28">
        <f t="shared" si="2"/>
        <v>3.8815117466802863E-2</v>
      </c>
      <c r="D36" s="28">
        <f t="shared" si="3"/>
        <v>-3.2489454828041247</v>
      </c>
      <c r="E36" s="28">
        <f t="shared" si="4"/>
        <v>-0.12610820055828065</v>
      </c>
      <c r="K36" s="18"/>
    </row>
    <row r="37" spans="1:11" x14ac:dyDescent="0.25">
      <c r="A37" s="28" t="s">
        <v>150</v>
      </c>
      <c r="B37" s="13">
        <v>200</v>
      </c>
      <c r="C37" s="28">
        <f t="shared" si="2"/>
        <v>4.0858018386108275E-3</v>
      </c>
      <c r="D37" s="28">
        <f t="shared" si="3"/>
        <v>-5.5002372814106195</v>
      </c>
      <c r="E37" s="28">
        <f t="shared" si="4"/>
        <v>-2.2472879597183328E-2</v>
      </c>
      <c r="K37" s="18"/>
    </row>
    <row r="38" spans="1:11" x14ac:dyDescent="0.25">
      <c r="A38" s="28" t="s">
        <v>151</v>
      </c>
      <c r="B38" s="13">
        <v>400</v>
      </c>
      <c r="C38" s="28">
        <f t="shared" si="2"/>
        <v>8.171603677221655E-3</v>
      </c>
      <c r="D38" s="28">
        <f t="shared" si="3"/>
        <v>-4.8070901008506741</v>
      </c>
      <c r="E38" s="28">
        <f t="shared" si="4"/>
        <v>-3.9281635144847185E-2</v>
      </c>
      <c r="K38" s="18"/>
    </row>
    <row r="39" spans="1:11" x14ac:dyDescent="0.25">
      <c r="A39" s="28" t="s">
        <v>152</v>
      </c>
      <c r="B39" s="13">
        <v>100</v>
      </c>
      <c r="C39" s="28">
        <f t="shared" si="2"/>
        <v>2.0429009193054137E-3</v>
      </c>
      <c r="D39" s="28">
        <f t="shared" si="3"/>
        <v>-6.1933844619705649</v>
      </c>
      <c r="E39" s="28">
        <f t="shared" si="4"/>
        <v>-1.2652470810971532E-2</v>
      </c>
      <c r="K39" s="18"/>
    </row>
    <row r="40" spans="1:11" x14ac:dyDescent="0.25">
      <c r="A40" s="28" t="s">
        <v>153</v>
      </c>
      <c r="B40" s="13">
        <v>6900</v>
      </c>
      <c r="C40" s="28">
        <f t="shared" si="2"/>
        <v>0.14096016343207354</v>
      </c>
      <c r="D40" s="28">
        <f t="shared" si="3"/>
        <v>-1.9592779573733057</v>
      </c>
      <c r="E40" s="28">
        <f t="shared" si="4"/>
        <v>-0.27618014108020039</v>
      </c>
      <c r="K40" s="18"/>
    </row>
    <row r="41" spans="1:11" x14ac:dyDescent="0.25">
      <c r="A41" s="28" t="s">
        <v>154</v>
      </c>
      <c r="B41" s="13">
        <v>700</v>
      </c>
      <c r="C41" s="28">
        <f t="shared" si="2"/>
        <v>1.4300306435137897E-2</v>
      </c>
      <c r="D41" s="28">
        <f t="shared" si="3"/>
        <v>-4.2474743129152515</v>
      </c>
      <c r="E41" s="28">
        <f t="shared" si="4"/>
        <v>-6.0740184250064888E-2</v>
      </c>
      <c r="K41" s="18"/>
    </row>
    <row r="42" spans="1:11" x14ac:dyDescent="0.25">
      <c r="A42" s="28"/>
      <c r="B42" s="28"/>
      <c r="C42" s="28"/>
      <c r="D42" s="28"/>
      <c r="E42" s="28"/>
      <c r="K42" s="18"/>
    </row>
    <row r="43" spans="1:11" x14ac:dyDescent="0.25">
      <c r="A43" s="28"/>
      <c r="B43" s="28"/>
      <c r="C43" s="28"/>
      <c r="D43" s="28"/>
      <c r="E43" s="32">
        <f>SUM(E11:E41)*-1</f>
        <v>2.5472587515191738</v>
      </c>
      <c r="K43" s="18"/>
    </row>
    <row r="44" spans="1:11" x14ac:dyDescent="0.25">
      <c r="A44" s="28"/>
      <c r="B44" s="28"/>
      <c r="C44" s="28"/>
      <c r="D44" s="28"/>
      <c r="E44" s="28"/>
      <c r="K44" s="18"/>
    </row>
    <row r="45" spans="1:11" x14ac:dyDescent="0.25">
      <c r="K45" s="18"/>
    </row>
    <row r="46" spans="1:11" ht="15.75" x14ac:dyDescent="0.25">
      <c r="A46" s="36" t="s">
        <v>126</v>
      </c>
      <c r="B46" s="36"/>
      <c r="C46" s="36"/>
      <c r="D46" s="36"/>
      <c r="E46" s="36"/>
      <c r="G46" s="36" t="s">
        <v>127</v>
      </c>
      <c r="H46" s="36"/>
      <c r="I46" s="36"/>
      <c r="J46" s="36"/>
      <c r="K46" s="36"/>
    </row>
    <row r="47" spans="1:11" ht="15.75" x14ac:dyDescent="0.25">
      <c r="A47" s="31" t="s">
        <v>111</v>
      </c>
      <c r="B47" s="31" t="s">
        <v>112</v>
      </c>
      <c r="C47" s="31" t="s">
        <v>113</v>
      </c>
      <c r="D47" s="31" t="s">
        <v>114</v>
      </c>
      <c r="E47" s="31" t="s">
        <v>115</v>
      </c>
      <c r="G47" s="31" t="s">
        <v>111</v>
      </c>
      <c r="H47" s="31" t="s">
        <v>112</v>
      </c>
      <c r="I47" s="31" t="s">
        <v>113</v>
      </c>
      <c r="J47" s="31" t="s">
        <v>114</v>
      </c>
      <c r="K47" s="31" t="s">
        <v>115</v>
      </c>
    </row>
    <row r="48" spans="1:11" x14ac:dyDescent="0.25">
      <c r="A48" s="28" t="s">
        <v>116</v>
      </c>
      <c r="B48" s="5">
        <v>85</v>
      </c>
      <c r="C48" s="28">
        <f>B48/3070</f>
        <v>2.7687296416938109E-2</v>
      </c>
      <c r="D48" s="28">
        <f>LN(C48)</f>
        <v>-3.5867815840909265</v>
      </c>
      <c r="E48" s="28">
        <f>C48*D48</f>
        <v>-9.9308284901540311E-2</v>
      </c>
      <c r="G48" s="28" t="s">
        <v>116</v>
      </c>
      <c r="H48" s="5">
        <v>85</v>
      </c>
      <c r="I48" s="28">
        <f>H48/1625</f>
        <v>5.2307692307692305E-2</v>
      </c>
      <c r="J48" s="28">
        <f>LN(I48)</f>
        <v>-2.9506118382735216</v>
      </c>
      <c r="K48" s="28">
        <f>I48*J48</f>
        <v>-0.15433969615584572</v>
      </c>
    </row>
    <row r="49" spans="1:11" x14ac:dyDescent="0.25">
      <c r="A49" s="28" t="s">
        <v>117</v>
      </c>
      <c r="B49" s="5">
        <v>1020</v>
      </c>
      <c r="C49" s="28">
        <f t="shared" ref="C49:C57" si="8">B49/3070</f>
        <v>0.33224755700325731</v>
      </c>
      <c r="D49" s="28">
        <f t="shared" ref="D49:D57" si="9">LN(C49)</f>
        <v>-1.1018749343029262</v>
      </c>
      <c r="E49" s="28">
        <f t="shared" ref="E49:E57" si="10">C49*D49</f>
        <v>-0.36609525504527185</v>
      </c>
      <c r="G49" s="28" t="s">
        <v>117</v>
      </c>
      <c r="H49" s="5">
        <v>595</v>
      </c>
      <c r="I49" s="28">
        <f t="shared" ref="I49:I55" si="11">H49/1625</f>
        <v>0.36615384615384616</v>
      </c>
      <c r="J49" s="28">
        <f t="shared" ref="J49:J55" si="12">LN(I49)</f>
        <v>-1.0047016892182081</v>
      </c>
      <c r="K49" s="28">
        <f t="shared" ref="K49:K55" si="13">I49*J49</f>
        <v>-0.36787538774451312</v>
      </c>
    </row>
    <row r="50" spans="1:11" x14ac:dyDescent="0.25">
      <c r="A50" s="28" t="s">
        <v>118</v>
      </c>
      <c r="B50" s="5">
        <v>850</v>
      </c>
      <c r="C50" s="28">
        <f t="shared" si="8"/>
        <v>0.27687296416938112</v>
      </c>
      <c r="D50" s="28">
        <f t="shared" si="9"/>
        <v>-1.2841964910968806</v>
      </c>
      <c r="E50" s="28">
        <f t="shared" si="10"/>
        <v>-0.35555928906591161</v>
      </c>
      <c r="G50" s="28" t="s">
        <v>118</v>
      </c>
      <c r="H50" s="5">
        <v>170</v>
      </c>
      <c r="I50" s="28">
        <f t="shared" si="11"/>
        <v>0.10461538461538461</v>
      </c>
      <c r="J50" s="28">
        <f t="shared" si="12"/>
        <v>-2.2574646577135762</v>
      </c>
      <c r="K50" s="28">
        <f t="shared" si="13"/>
        <v>-0.23616553342234334</v>
      </c>
    </row>
    <row r="51" spans="1:11" x14ac:dyDescent="0.25">
      <c r="A51" s="28" t="s">
        <v>119</v>
      </c>
      <c r="B51" s="5">
        <v>170</v>
      </c>
      <c r="C51" s="28">
        <f t="shared" si="8"/>
        <v>5.5374592833876218E-2</v>
      </c>
      <c r="D51" s="28">
        <f t="shared" si="9"/>
        <v>-2.8936344035309811</v>
      </c>
      <c r="E51" s="28">
        <f t="shared" si="10"/>
        <v>-0.16023382690562435</v>
      </c>
      <c r="G51" s="28" t="s">
        <v>119</v>
      </c>
      <c r="H51" s="5">
        <v>85</v>
      </c>
      <c r="I51" s="28">
        <f t="shared" si="11"/>
        <v>5.2307692307692305E-2</v>
      </c>
      <c r="J51" s="28">
        <f t="shared" si="12"/>
        <v>-2.9506118382735216</v>
      </c>
      <c r="K51" s="28">
        <f t="shared" si="13"/>
        <v>-0.15433969615584572</v>
      </c>
    </row>
    <row r="52" spans="1:11" x14ac:dyDescent="0.25">
      <c r="A52" s="28" t="s">
        <v>120</v>
      </c>
      <c r="B52" s="5">
        <v>85</v>
      </c>
      <c r="C52" s="28">
        <f t="shared" si="8"/>
        <v>2.7687296416938109E-2</v>
      </c>
      <c r="D52" s="28">
        <f t="shared" si="9"/>
        <v>-3.5867815840909265</v>
      </c>
      <c r="E52" s="28">
        <f t="shared" si="10"/>
        <v>-9.9308284901540311E-2</v>
      </c>
      <c r="G52" s="28" t="s">
        <v>120</v>
      </c>
      <c r="H52" s="5">
        <v>170</v>
      </c>
      <c r="I52" s="28">
        <f t="shared" si="11"/>
        <v>0.10461538461538461</v>
      </c>
      <c r="J52" s="28">
        <f t="shared" si="12"/>
        <v>-2.2574646577135762</v>
      </c>
      <c r="K52" s="28">
        <f t="shared" si="13"/>
        <v>-0.23616553342234334</v>
      </c>
    </row>
    <row r="53" spans="1:11" x14ac:dyDescent="0.25">
      <c r="A53" s="28" t="s">
        <v>121</v>
      </c>
      <c r="B53" s="5">
        <v>170</v>
      </c>
      <c r="C53" s="28">
        <f t="shared" si="8"/>
        <v>5.5374592833876218E-2</v>
      </c>
      <c r="D53" s="28">
        <f t="shared" si="9"/>
        <v>-2.8936344035309811</v>
      </c>
      <c r="E53" s="28">
        <f t="shared" si="10"/>
        <v>-0.16023382690562435</v>
      </c>
      <c r="G53" s="28" t="s">
        <v>121</v>
      </c>
      <c r="H53" s="5">
        <v>85</v>
      </c>
      <c r="I53" s="28">
        <f t="shared" si="11"/>
        <v>5.2307692307692305E-2</v>
      </c>
      <c r="J53" s="28">
        <f t="shared" si="12"/>
        <v>-2.9506118382735216</v>
      </c>
      <c r="K53" s="28">
        <f t="shared" si="13"/>
        <v>-0.15433969615584572</v>
      </c>
    </row>
    <row r="54" spans="1:11" x14ac:dyDescent="0.25">
      <c r="A54" s="28" t="s">
        <v>122</v>
      </c>
      <c r="B54" s="5">
        <v>510</v>
      </c>
      <c r="C54" s="28">
        <f t="shared" si="8"/>
        <v>0.16612377850162866</v>
      </c>
      <c r="D54" s="28">
        <f t="shared" si="9"/>
        <v>-1.7950221148628713</v>
      </c>
      <c r="E54" s="28">
        <f t="shared" si="10"/>
        <v>-0.29819585621500466</v>
      </c>
      <c r="G54" s="28" t="s">
        <v>122</v>
      </c>
      <c r="H54" s="5">
        <v>425</v>
      </c>
      <c r="I54" s="28">
        <f t="shared" si="11"/>
        <v>0.26153846153846155</v>
      </c>
      <c r="J54" s="28">
        <f t="shared" si="12"/>
        <v>-1.3411739258394211</v>
      </c>
      <c r="K54" s="28">
        <f t="shared" si="13"/>
        <v>-0.35076856521954092</v>
      </c>
    </row>
    <row r="55" spans="1:11" x14ac:dyDescent="0.25">
      <c r="A55" s="28" t="s">
        <v>123</v>
      </c>
      <c r="B55" s="5">
        <v>85</v>
      </c>
      <c r="C55" s="28">
        <f t="shared" si="8"/>
        <v>2.7687296416938109E-2</v>
      </c>
      <c r="D55" s="28">
        <f t="shared" si="9"/>
        <v>-3.5867815840909265</v>
      </c>
      <c r="E55" s="28">
        <f t="shared" si="10"/>
        <v>-9.9308284901540311E-2</v>
      </c>
      <c r="G55" s="28" t="s">
        <v>123</v>
      </c>
      <c r="H55" s="5">
        <v>10</v>
      </c>
      <c r="I55" s="28">
        <f t="shared" si="11"/>
        <v>6.1538461538461538E-3</v>
      </c>
      <c r="J55" s="28">
        <f t="shared" si="12"/>
        <v>-5.0906780017697919</v>
      </c>
      <c r="K55" s="28">
        <f t="shared" si="13"/>
        <v>-3.1327249241660256E-2</v>
      </c>
    </row>
    <row r="56" spans="1:11" x14ac:dyDescent="0.25">
      <c r="A56" s="28" t="s">
        <v>124</v>
      </c>
      <c r="B56" s="5">
        <v>85</v>
      </c>
      <c r="C56" s="28">
        <f t="shared" si="8"/>
        <v>2.7687296416938109E-2</v>
      </c>
      <c r="D56" s="28">
        <f t="shared" si="9"/>
        <v>-3.5867815840909265</v>
      </c>
      <c r="E56" s="28">
        <f t="shared" si="10"/>
        <v>-9.9308284901540311E-2</v>
      </c>
      <c r="G56" s="28"/>
      <c r="H56" s="28"/>
      <c r="I56" s="28"/>
      <c r="J56" s="28"/>
      <c r="K56" s="28"/>
    </row>
    <row r="57" spans="1:11" x14ac:dyDescent="0.25">
      <c r="A57" s="28" t="s">
        <v>125</v>
      </c>
      <c r="B57" s="5">
        <v>10</v>
      </c>
      <c r="C57" s="28">
        <f t="shared" si="8"/>
        <v>3.2573289902280132E-3</v>
      </c>
      <c r="D57" s="28">
        <f t="shared" si="9"/>
        <v>-5.7268477475871968</v>
      </c>
      <c r="E57" s="28">
        <f t="shared" si="10"/>
        <v>-1.8654227190837775E-2</v>
      </c>
      <c r="G57" s="28"/>
      <c r="H57" s="28"/>
      <c r="I57" s="28"/>
      <c r="J57" s="28"/>
      <c r="K57" s="32">
        <f>SUM(K48:K55)*-1</f>
        <v>1.6853213575179382</v>
      </c>
    </row>
    <row r="58" spans="1:11" x14ac:dyDescent="0.25">
      <c r="A58" s="28"/>
      <c r="B58" s="28"/>
      <c r="C58" s="28"/>
      <c r="D58" s="28"/>
      <c r="E58" s="28"/>
      <c r="G58" s="28"/>
      <c r="H58" s="28"/>
      <c r="I58" s="28"/>
      <c r="J58" s="28"/>
      <c r="K58" s="28"/>
    </row>
    <row r="59" spans="1:11" x14ac:dyDescent="0.25">
      <c r="A59" s="28"/>
      <c r="B59" s="28"/>
      <c r="C59" s="28"/>
      <c r="D59" s="28"/>
      <c r="E59" s="32">
        <f>SUM(E48:E57)*-1</f>
        <v>1.756205420934436</v>
      </c>
      <c r="G59" s="28"/>
      <c r="H59" s="28"/>
      <c r="I59" s="28"/>
      <c r="J59" s="28"/>
      <c r="K59" s="28"/>
    </row>
    <row r="60" spans="1:11" x14ac:dyDescent="0.25">
      <c r="A60" s="28"/>
      <c r="B60" s="28"/>
      <c r="C60" s="28"/>
      <c r="D60" s="28"/>
      <c r="E60" s="28"/>
    </row>
    <row r="63" spans="1:11" ht="15.75" x14ac:dyDescent="0.25">
      <c r="A63" s="36" t="s">
        <v>128</v>
      </c>
      <c r="B63" s="36"/>
      <c r="C63" s="36"/>
      <c r="D63" s="36"/>
      <c r="E63" s="36"/>
      <c r="G63" s="36" t="s">
        <v>129</v>
      </c>
      <c r="H63" s="36"/>
      <c r="I63" s="36"/>
      <c r="J63" s="36"/>
      <c r="K63" s="36"/>
    </row>
    <row r="64" spans="1:11" ht="15.75" x14ac:dyDescent="0.25">
      <c r="A64" s="31" t="s">
        <v>111</v>
      </c>
      <c r="B64" s="31" t="s">
        <v>112</v>
      </c>
      <c r="C64" s="31" t="s">
        <v>113</v>
      </c>
      <c r="D64" s="31" t="s">
        <v>114</v>
      </c>
      <c r="E64" s="31" t="s">
        <v>115</v>
      </c>
      <c r="G64" s="31" t="s">
        <v>111</v>
      </c>
      <c r="H64" s="31" t="s">
        <v>112</v>
      </c>
      <c r="I64" s="31" t="s">
        <v>113</v>
      </c>
      <c r="J64" s="31" t="s">
        <v>114</v>
      </c>
      <c r="K64" s="31" t="s">
        <v>115</v>
      </c>
    </row>
    <row r="65" spans="1:11" x14ac:dyDescent="0.25">
      <c r="A65" s="28" t="s">
        <v>116</v>
      </c>
      <c r="B65" s="5">
        <v>425</v>
      </c>
      <c r="C65" s="28">
        <f>B65/3570</f>
        <v>0.11904761904761904</v>
      </c>
      <c r="D65" s="28">
        <f>LN(C65)</f>
        <v>-2.1282317058492679</v>
      </c>
      <c r="E65" s="28">
        <f>C65*D65</f>
        <v>-0.25336091736300809</v>
      </c>
      <c r="G65" s="28" t="s">
        <v>116</v>
      </c>
      <c r="H65" s="5">
        <v>85</v>
      </c>
      <c r="I65" s="28">
        <f>H65/170</f>
        <v>0.5</v>
      </c>
      <c r="J65" s="28">
        <f>LN(I65)</f>
        <v>-0.69314718055994529</v>
      </c>
      <c r="K65" s="28">
        <f>I65*J65</f>
        <v>-0.34657359027997264</v>
      </c>
    </row>
    <row r="66" spans="1:11" x14ac:dyDescent="0.25">
      <c r="A66" s="28" t="s">
        <v>117</v>
      </c>
      <c r="B66" s="5">
        <v>255</v>
      </c>
      <c r="C66" s="28">
        <f t="shared" ref="C66:C79" si="14">B66/3570</f>
        <v>7.1428571428571425E-2</v>
      </c>
      <c r="D66" s="28">
        <f t="shared" ref="D66:D79" si="15">LN(C66)</f>
        <v>-2.6390573296152589</v>
      </c>
      <c r="E66" s="28">
        <f t="shared" ref="E66:E79" si="16">C66*D66</f>
        <v>-0.18850409497251847</v>
      </c>
      <c r="G66" s="28" t="s">
        <v>117</v>
      </c>
      <c r="H66" s="5">
        <v>85</v>
      </c>
      <c r="I66" s="28">
        <f>H66/170</f>
        <v>0.5</v>
      </c>
      <c r="J66" s="28">
        <f>LN(I66)</f>
        <v>-0.69314718055994529</v>
      </c>
      <c r="K66" s="28">
        <f>I66*J66</f>
        <v>-0.34657359027997264</v>
      </c>
    </row>
    <row r="67" spans="1:11" x14ac:dyDescent="0.25">
      <c r="A67" s="28" t="s">
        <v>118</v>
      </c>
      <c r="B67" s="5">
        <v>1190</v>
      </c>
      <c r="C67" s="28">
        <f t="shared" si="14"/>
        <v>0.33333333333333331</v>
      </c>
      <c r="D67" s="28">
        <f t="shared" si="15"/>
        <v>-1.0986122886681098</v>
      </c>
      <c r="E67" s="28">
        <f t="shared" si="16"/>
        <v>-0.36620409622270322</v>
      </c>
      <c r="G67" s="28" t="s">
        <v>118</v>
      </c>
      <c r="H67" s="5"/>
      <c r="I67" s="28"/>
      <c r="J67" s="28"/>
      <c r="K67" s="28"/>
    </row>
    <row r="68" spans="1:11" x14ac:dyDescent="0.25">
      <c r="A68" s="28" t="s">
        <v>119</v>
      </c>
      <c r="B68" s="5">
        <v>170</v>
      </c>
      <c r="C68" s="28">
        <f t="shared" si="14"/>
        <v>4.7619047619047616E-2</v>
      </c>
      <c r="D68" s="28">
        <f t="shared" si="15"/>
        <v>-3.044522437723423</v>
      </c>
      <c r="E68" s="28">
        <f t="shared" si="16"/>
        <v>-0.14497725893921062</v>
      </c>
      <c r="G68" s="28" t="s">
        <v>119</v>
      </c>
      <c r="H68" s="5"/>
      <c r="I68" s="28"/>
      <c r="J68" s="28"/>
      <c r="K68" s="32">
        <f>SUM(K65:K66)*-1</f>
        <v>0.69314718055994529</v>
      </c>
    </row>
    <row r="69" spans="1:11" x14ac:dyDescent="0.25">
      <c r="A69" s="28" t="s">
        <v>120</v>
      </c>
      <c r="B69" s="5">
        <v>85</v>
      </c>
      <c r="C69" s="28">
        <f t="shared" si="14"/>
        <v>2.3809523809523808E-2</v>
      </c>
      <c r="D69" s="28">
        <f t="shared" si="15"/>
        <v>-3.7376696182833684</v>
      </c>
      <c r="E69" s="28">
        <f t="shared" si="16"/>
        <v>-8.8992133768651629E-2</v>
      </c>
      <c r="G69" s="28" t="s">
        <v>120</v>
      </c>
      <c r="H69" s="5"/>
      <c r="I69" s="28"/>
      <c r="J69" s="28"/>
      <c r="K69" s="28"/>
    </row>
    <row r="70" spans="1:11" x14ac:dyDescent="0.25">
      <c r="A70" s="28" t="s">
        <v>121</v>
      </c>
      <c r="B70" s="5">
        <v>85</v>
      </c>
      <c r="C70" s="28">
        <f t="shared" si="14"/>
        <v>2.3809523809523808E-2</v>
      </c>
      <c r="D70" s="28">
        <f t="shared" si="15"/>
        <v>-3.7376696182833684</v>
      </c>
      <c r="E70" s="28">
        <f t="shared" si="16"/>
        <v>-8.8992133768651629E-2</v>
      </c>
      <c r="G70" s="28" t="s">
        <v>121</v>
      </c>
      <c r="H70" s="28"/>
      <c r="I70" s="28"/>
      <c r="J70" s="28"/>
      <c r="K70" s="28"/>
    </row>
    <row r="71" spans="1:11" x14ac:dyDescent="0.25">
      <c r="A71" s="28" t="s">
        <v>122</v>
      </c>
      <c r="B71" s="5">
        <v>85</v>
      </c>
      <c r="C71" s="28">
        <f t="shared" si="14"/>
        <v>2.3809523809523808E-2</v>
      </c>
      <c r="D71" s="28">
        <f t="shared" si="15"/>
        <v>-3.7376696182833684</v>
      </c>
      <c r="E71" s="28">
        <f t="shared" si="16"/>
        <v>-8.8992133768651629E-2</v>
      </c>
      <c r="G71" s="28" t="s">
        <v>122</v>
      </c>
      <c r="H71" s="28"/>
      <c r="I71" s="28"/>
      <c r="J71" s="28"/>
      <c r="K71" s="32"/>
    </row>
    <row r="72" spans="1:11" x14ac:dyDescent="0.25">
      <c r="A72" s="28" t="s">
        <v>123</v>
      </c>
      <c r="B72" s="5">
        <v>85</v>
      </c>
      <c r="C72" s="28">
        <f t="shared" si="14"/>
        <v>2.3809523809523808E-2</v>
      </c>
      <c r="D72" s="28">
        <f t="shared" si="15"/>
        <v>-3.7376696182833684</v>
      </c>
      <c r="E72" s="28">
        <f t="shared" si="16"/>
        <v>-8.8992133768651629E-2</v>
      </c>
      <c r="G72" s="28" t="s">
        <v>123</v>
      </c>
      <c r="H72" s="28"/>
      <c r="I72" s="28"/>
      <c r="J72" s="28"/>
      <c r="K72" s="32"/>
    </row>
    <row r="73" spans="1:11" x14ac:dyDescent="0.25">
      <c r="A73" s="28" t="s">
        <v>124</v>
      </c>
      <c r="B73" s="5">
        <v>255</v>
      </c>
      <c r="C73" s="28">
        <f t="shared" si="14"/>
        <v>7.1428571428571425E-2</v>
      </c>
      <c r="D73" s="28">
        <f t="shared" si="15"/>
        <v>-2.6390573296152589</v>
      </c>
      <c r="E73" s="28">
        <f t="shared" si="16"/>
        <v>-0.18850409497251847</v>
      </c>
      <c r="G73" s="28" t="s">
        <v>124</v>
      </c>
      <c r="H73" s="28"/>
      <c r="I73" s="28"/>
      <c r="J73" s="28"/>
      <c r="K73" s="28"/>
    </row>
    <row r="74" spans="1:11" x14ac:dyDescent="0.25">
      <c r="A74" s="28" t="s">
        <v>125</v>
      </c>
      <c r="B74" s="5">
        <v>340</v>
      </c>
      <c r="C74" s="28">
        <f t="shared" si="14"/>
        <v>9.5238095238095233E-2</v>
      </c>
      <c r="D74" s="28">
        <f t="shared" si="15"/>
        <v>-2.3513752571634776</v>
      </c>
      <c r="E74" s="28">
        <f t="shared" si="16"/>
        <v>-0.22394050068223595</v>
      </c>
      <c r="G74" s="28" t="s">
        <v>125</v>
      </c>
      <c r="H74" s="28"/>
      <c r="I74" s="28"/>
      <c r="J74" s="28"/>
      <c r="K74" s="28"/>
    </row>
    <row r="75" spans="1:11" x14ac:dyDescent="0.25">
      <c r="A75" s="28" t="s">
        <v>134</v>
      </c>
      <c r="B75" s="5">
        <v>85</v>
      </c>
      <c r="C75" s="28">
        <f t="shared" si="14"/>
        <v>2.3809523809523808E-2</v>
      </c>
      <c r="D75" s="28">
        <f t="shared" si="15"/>
        <v>-3.7376696182833684</v>
      </c>
      <c r="E75" s="28">
        <f t="shared" si="16"/>
        <v>-8.8992133768651629E-2</v>
      </c>
    </row>
    <row r="76" spans="1:11" x14ac:dyDescent="0.25">
      <c r="A76" s="28" t="s">
        <v>135</v>
      </c>
      <c r="B76" s="5">
        <v>85</v>
      </c>
      <c r="C76" s="28">
        <f t="shared" si="14"/>
        <v>2.3809523809523808E-2</v>
      </c>
      <c r="D76" s="28">
        <f t="shared" si="15"/>
        <v>-3.7376696182833684</v>
      </c>
      <c r="E76" s="28">
        <f t="shared" si="16"/>
        <v>-8.8992133768651629E-2</v>
      </c>
    </row>
    <row r="77" spans="1:11" x14ac:dyDescent="0.25">
      <c r="A77" s="28" t="s">
        <v>136</v>
      </c>
      <c r="B77" s="5">
        <v>85</v>
      </c>
      <c r="C77" s="28">
        <f t="shared" si="14"/>
        <v>2.3809523809523808E-2</v>
      </c>
      <c r="D77" s="28">
        <f t="shared" si="15"/>
        <v>-3.7376696182833684</v>
      </c>
      <c r="E77" s="28">
        <f t="shared" si="16"/>
        <v>-8.8992133768651629E-2</v>
      </c>
    </row>
    <row r="78" spans="1:11" x14ac:dyDescent="0.25">
      <c r="A78" s="28" t="s">
        <v>137</v>
      </c>
      <c r="B78" s="5">
        <v>85</v>
      </c>
      <c r="C78" s="28">
        <f t="shared" si="14"/>
        <v>2.3809523809523808E-2</v>
      </c>
      <c r="D78" s="28">
        <f t="shared" si="15"/>
        <v>-3.7376696182833684</v>
      </c>
      <c r="E78" s="28">
        <f t="shared" si="16"/>
        <v>-8.8992133768651629E-2</v>
      </c>
    </row>
    <row r="79" spans="1:11" x14ac:dyDescent="0.25">
      <c r="A79" s="28" t="s">
        <v>138</v>
      </c>
      <c r="B79" s="5">
        <v>255</v>
      </c>
      <c r="C79" s="28">
        <f t="shared" si="14"/>
        <v>7.1428571428571425E-2</v>
      </c>
      <c r="D79" s="28">
        <f t="shared" si="15"/>
        <v>-2.6390573296152589</v>
      </c>
      <c r="E79" s="28">
        <f t="shared" si="16"/>
        <v>-0.18850409497251847</v>
      </c>
    </row>
    <row r="80" spans="1:11" x14ac:dyDescent="0.25">
      <c r="A80" s="28"/>
      <c r="B80" s="28"/>
      <c r="C80" s="28"/>
      <c r="D80" s="28"/>
      <c r="E80" s="32"/>
    </row>
    <row r="81" spans="1:11" x14ac:dyDescent="0.25">
      <c r="A81" s="28"/>
      <c r="B81" s="28"/>
      <c r="C81" s="28"/>
      <c r="D81" s="28"/>
      <c r="E81" s="32">
        <f>SUM(E65:E79)*-1</f>
        <v>2.2659321282739264</v>
      </c>
    </row>
    <row r="82" spans="1:11" x14ac:dyDescent="0.25">
      <c r="A82" s="28"/>
      <c r="B82" s="28"/>
      <c r="C82" s="28"/>
      <c r="D82" s="28"/>
      <c r="E82" s="32"/>
    </row>
    <row r="83" spans="1:11" x14ac:dyDescent="0.25">
      <c r="E83" s="18"/>
    </row>
    <row r="86" spans="1:11" ht="15.75" x14ac:dyDescent="0.25">
      <c r="A86" s="36" t="s">
        <v>130</v>
      </c>
      <c r="B86" s="36"/>
      <c r="C86" s="36"/>
      <c r="D86" s="36"/>
      <c r="E86" s="36"/>
      <c r="G86" s="36" t="s">
        <v>131</v>
      </c>
      <c r="H86" s="36"/>
      <c r="I86" s="36"/>
      <c r="J86" s="36"/>
      <c r="K86" s="36"/>
    </row>
    <row r="87" spans="1:11" ht="15.75" x14ac:dyDescent="0.25">
      <c r="A87" s="31" t="s">
        <v>111</v>
      </c>
      <c r="B87" s="31" t="s">
        <v>112</v>
      </c>
      <c r="C87" s="31" t="s">
        <v>113</v>
      </c>
      <c r="D87" s="31" t="s">
        <v>114</v>
      </c>
      <c r="E87" s="31" t="s">
        <v>115</v>
      </c>
      <c r="G87" s="31" t="s">
        <v>111</v>
      </c>
      <c r="H87" s="31" t="s">
        <v>112</v>
      </c>
      <c r="I87" s="31" t="s">
        <v>113</v>
      </c>
      <c r="J87" s="31" t="s">
        <v>114</v>
      </c>
      <c r="K87" s="31" t="s">
        <v>115</v>
      </c>
    </row>
    <row r="88" spans="1:11" x14ac:dyDescent="0.25">
      <c r="A88" s="28" t="s">
        <v>116</v>
      </c>
      <c r="B88" s="5">
        <v>250</v>
      </c>
      <c r="C88" s="28">
        <f>B88/15260</f>
        <v>1.6382699868938401E-2</v>
      </c>
      <c r="D88" s="28">
        <f>LN(C88)</f>
        <v>-4.1115293869762013</v>
      </c>
      <c r="E88" s="28">
        <f>C88*D88</f>
        <v>-6.7357951949151396E-2</v>
      </c>
      <c r="G88" s="28" t="s">
        <v>116</v>
      </c>
      <c r="H88" s="5">
        <v>170</v>
      </c>
      <c r="I88" s="28">
        <f>H88/795</f>
        <v>0.21383647798742139</v>
      </c>
      <c r="J88" s="28">
        <f>LN(I88)</f>
        <v>-1.5425436776040702</v>
      </c>
      <c r="K88" s="28">
        <f>I88*J88</f>
        <v>-0.3298521071606188</v>
      </c>
    </row>
    <row r="89" spans="1:11" x14ac:dyDescent="0.25">
      <c r="A89" s="28" t="s">
        <v>117</v>
      </c>
      <c r="B89" s="5">
        <v>250</v>
      </c>
      <c r="C89" s="28">
        <f t="shared" ref="C89:C105" si="17">B89/15260</f>
        <v>1.6382699868938401E-2</v>
      </c>
      <c r="D89" s="28">
        <f t="shared" ref="D89:D105" si="18">LN(C89)</f>
        <v>-4.1115293869762013</v>
      </c>
      <c r="E89" s="28">
        <f t="shared" ref="E89:E105" si="19">C89*D89</f>
        <v>-6.7357951949151396E-2</v>
      </c>
      <c r="G89" s="28" t="s">
        <v>117</v>
      </c>
      <c r="H89" s="5">
        <v>85</v>
      </c>
      <c r="I89" s="28">
        <f t="shared" ref="I89:I97" si="20">H89/795</f>
        <v>0.1069182389937107</v>
      </c>
      <c r="J89" s="28">
        <f t="shared" ref="J89:J97" si="21">LN(I89)</f>
        <v>-2.2356908581640154</v>
      </c>
      <c r="K89" s="28">
        <f t="shared" ref="K89:K97" si="22">I89*J89</f>
        <v>-0.23903612948923436</v>
      </c>
    </row>
    <row r="90" spans="1:11" x14ac:dyDescent="0.25">
      <c r="A90" s="28" t="s">
        <v>118</v>
      </c>
      <c r="B90" s="5">
        <v>250</v>
      </c>
      <c r="C90" s="28">
        <f t="shared" si="17"/>
        <v>1.6382699868938401E-2</v>
      </c>
      <c r="D90" s="28">
        <f t="shared" si="18"/>
        <v>-4.1115293869762013</v>
      </c>
      <c r="E90" s="28">
        <f t="shared" si="19"/>
        <v>-6.7357951949151396E-2</v>
      </c>
      <c r="G90" s="28" t="s">
        <v>118</v>
      </c>
      <c r="H90" s="5">
        <v>85</v>
      </c>
      <c r="I90" s="28">
        <f t="shared" si="20"/>
        <v>0.1069182389937107</v>
      </c>
      <c r="J90" s="28">
        <f t="shared" si="21"/>
        <v>-2.2356908581640154</v>
      </c>
      <c r="K90" s="28">
        <f t="shared" si="22"/>
        <v>-0.23903612948923436</v>
      </c>
    </row>
    <row r="91" spans="1:11" x14ac:dyDescent="0.25">
      <c r="A91" s="28" t="s">
        <v>119</v>
      </c>
      <c r="B91" s="5">
        <v>1000</v>
      </c>
      <c r="C91" s="28">
        <f t="shared" si="17"/>
        <v>6.5530799475753604E-2</v>
      </c>
      <c r="D91" s="28">
        <f t="shared" si="18"/>
        <v>-2.7252350258563109</v>
      </c>
      <c r="E91" s="28">
        <f t="shared" si="19"/>
        <v>-0.17858683000369011</v>
      </c>
      <c r="G91" s="28" t="s">
        <v>119</v>
      </c>
      <c r="H91" s="5">
        <v>85</v>
      </c>
      <c r="I91" s="28">
        <f t="shared" si="20"/>
        <v>0.1069182389937107</v>
      </c>
      <c r="J91" s="28">
        <f t="shared" si="21"/>
        <v>-2.2356908581640154</v>
      </c>
      <c r="K91" s="28">
        <f t="shared" si="22"/>
        <v>-0.23903612948923436</v>
      </c>
    </row>
    <row r="92" spans="1:11" x14ac:dyDescent="0.25">
      <c r="A92" s="28" t="s">
        <v>120</v>
      </c>
      <c r="B92" s="5">
        <v>500</v>
      </c>
      <c r="C92" s="28">
        <f t="shared" si="17"/>
        <v>3.2765399737876802E-2</v>
      </c>
      <c r="D92" s="28">
        <f t="shared" si="18"/>
        <v>-3.4183822064162563</v>
      </c>
      <c r="E92" s="28">
        <f t="shared" si="19"/>
        <v>-0.11200465945007393</v>
      </c>
      <c r="G92" s="28" t="s">
        <v>120</v>
      </c>
      <c r="H92" s="5">
        <v>85</v>
      </c>
      <c r="I92" s="28">
        <f t="shared" si="20"/>
        <v>0.1069182389937107</v>
      </c>
      <c r="J92" s="28">
        <f t="shared" si="21"/>
        <v>-2.2356908581640154</v>
      </c>
      <c r="K92" s="28">
        <f t="shared" si="22"/>
        <v>-0.23903612948923436</v>
      </c>
    </row>
    <row r="93" spans="1:11" x14ac:dyDescent="0.25">
      <c r="A93" s="28" t="s">
        <v>121</v>
      </c>
      <c r="B93" s="5">
        <v>250</v>
      </c>
      <c r="C93" s="28">
        <f t="shared" si="17"/>
        <v>1.6382699868938401E-2</v>
      </c>
      <c r="D93" s="28">
        <f t="shared" si="18"/>
        <v>-4.1115293869762013</v>
      </c>
      <c r="E93" s="28">
        <f t="shared" si="19"/>
        <v>-6.7357951949151396E-2</v>
      </c>
      <c r="G93" s="28" t="s">
        <v>121</v>
      </c>
      <c r="H93" s="5">
        <v>85</v>
      </c>
      <c r="I93" s="28">
        <f t="shared" si="20"/>
        <v>0.1069182389937107</v>
      </c>
      <c r="J93" s="28">
        <f t="shared" si="21"/>
        <v>-2.2356908581640154</v>
      </c>
      <c r="K93" s="28">
        <f t="shared" si="22"/>
        <v>-0.23903612948923436</v>
      </c>
    </row>
    <row r="94" spans="1:11" x14ac:dyDescent="0.25">
      <c r="A94" s="28" t="s">
        <v>122</v>
      </c>
      <c r="B94" s="5">
        <v>1750</v>
      </c>
      <c r="C94" s="28">
        <f t="shared" si="17"/>
        <v>0.11467889908256881</v>
      </c>
      <c r="D94" s="28">
        <f t="shared" si="18"/>
        <v>-2.1656192379208883</v>
      </c>
      <c r="E94" s="28">
        <f t="shared" si="19"/>
        <v>-0.24835083003679914</v>
      </c>
      <c r="G94" s="28" t="s">
        <v>122</v>
      </c>
      <c r="H94" s="5">
        <v>15</v>
      </c>
      <c r="I94" s="28">
        <f t="shared" si="20"/>
        <v>1.8867924528301886E-2</v>
      </c>
      <c r="J94" s="28">
        <f t="shared" si="21"/>
        <v>-3.970291913552122</v>
      </c>
      <c r="K94" s="28">
        <f t="shared" si="22"/>
        <v>-7.4911168180228707E-2</v>
      </c>
    </row>
    <row r="95" spans="1:11" x14ac:dyDescent="0.25">
      <c r="A95" s="28" t="s">
        <v>123</v>
      </c>
      <c r="B95" s="5">
        <v>4500</v>
      </c>
      <c r="C95" s="28">
        <f t="shared" si="17"/>
        <v>0.2948885976408912</v>
      </c>
      <c r="D95" s="28">
        <f t="shared" si="18"/>
        <v>-1.221157629080037</v>
      </c>
      <c r="E95" s="28">
        <f t="shared" si="19"/>
        <v>-0.36010546073788768</v>
      </c>
      <c r="G95" s="28" t="s">
        <v>123</v>
      </c>
      <c r="H95" s="5">
        <v>5</v>
      </c>
      <c r="I95" s="28">
        <f t="shared" si="20"/>
        <v>6.2893081761006293E-3</v>
      </c>
      <c r="J95" s="28">
        <f t="shared" si="21"/>
        <v>-5.0689042022202315</v>
      </c>
      <c r="K95" s="28">
        <f t="shared" si="22"/>
        <v>-3.1879900642894539E-2</v>
      </c>
    </row>
    <row r="96" spans="1:11" x14ac:dyDescent="0.25">
      <c r="A96" s="28" t="s">
        <v>124</v>
      </c>
      <c r="B96" s="5">
        <v>2000</v>
      </c>
      <c r="C96" s="28">
        <f t="shared" si="17"/>
        <v>0.13106159895150721</v>
      </c>
      <c r="D96" s="28">
        <f t="shared" si="18"/>
        <v>-2.0320878452963655</v>
      </c>
      <c r="E96" s="28">
        <f t="shared" si="19"/>
        <v>-0.26632868221446471</v>
      </c>
      <c r="G96" s="28" t="s">
        <v>124</v>
      </c>
      <c r="H96" s="5">
        <v>10</v>
      </c>
      <c r="I96" s="28">
        <f t="shared" si="20"/>
        <v>1.2578616352201259E-2</v>
      </c>
      <c r="J96" s="28">
        <f t="shared" si="21"/>
        <v>-4.3757570216602861</v>
      </c>
      <c r="K96" s="28">
        <f t="shared" si="22"/>
        <v>-5.5040968825915554E-2</v>
      </c>
    </row>
    <row r="97" spans="1:11" x14ac:dyDescent="0.25">
      <c r="A97" s="28" t="s">
        <v>125</v>
      </c>
      <c r="B97" s="5">
        <v>250</v>
      </c>
      <c r="C97" s="28">
        <f t="shared" si="17"/>
        <v>1.6382699868938401E-2</v>
      </c>
      <c r="D97" s="28">
        <f t="shared" si="18"/>
        <v>-4.1115293869762013</v>
      </c>
      <c r="E97" s="28">
        <f t="shared" si="19"/>
        <v>-6.7357951949151396E-2</v>
      </c>
      <c r="G97" s="28" t="s">
        <v>125</v>
      </c>
      <c r="H97" s="5">
        <v>170</v>
      </c>
      <c r="I97" s="28">
        <f t="shared" si="20"/>
        <v>0.21383647798742139</v>
      </c>
      <c r="J97" s="28">
        <f t="shared" si="21"/>
        <v>-1.5425436776040702</v>
      </c>
      <c r="K97" s="28">
        <f t="shared" si="22"/>
        <v>-0.3298521071606188</v>
      </c>
    </row>
    <row r="98" spans="1:11" x14ac:dyDescent="0.25">
      <c r="A98" s="28" t="s">
        <v>134</v>
      </c>
      <c r="B98" s="5">
        <v>1000</v>
      </c>
      <c r="C98" s="28">
        <f t="shared" si="17"/>
        <v>6.5530799475753604E-2</v>
      </c>
      <c r="D98" s="28">
        <f t="shared" si="18"/>
        <v>-2.7252350258563109</v>
      </c>
      <c r="E98" s="28">
        <f t="shared" si="19"/>
        <v>-0.17858683000369011</v>
      </c>
      <c r="G98" s="28"/>
      <c r="H98" s="28"/>
      <c r="I98" s="28"/>
      <c r="J98" s="28"/>
      <c r="K98" s="28"/>
    </row>
    <row r="99" spans="1:11" x14ac:dyDescent="0.25">
      <c r="A99" s="28" t="s">
        <v>135</v>
      </c>
      <c r="B99" s="5">
        <v>1250</v>
      </c>
      <c r="C99" s="28">
        <f t="shared" si="17"/>
        <v>8.1913499344692012E-2</v>
      </c>
      <c r="D99" s="28">
        <f t="shared" si="18"/>
        <v>-2.5020914745421012</v>
      </c>
      <c r="E99" s="28">
        <f t="shared" si="19"/>
        <v>-0.20495506836026389</v>
      </c>
      <c r="G99" s="28"/>
      <c r="H99" s="28"/>
      <c r="I99" s="28"/>
      <c r="J99" s="28"/>
      <c r="K99" s="32">
        <f>SUM(K88:K97)*-1</f>
        <v>2.0167168994164482</v>
      </c>
    </row>
    <row r="100" spans="1:11" x14ac:dyDescent="0.25">
      <c r="A100" s="28" t="s">
        <v>136</v>
      </c>
      <c r="B100" s="5">
        <v>250</v>
      </c>
      <c r="C100" s="28">
        <f t="shared" si="17"/>
        <v>1.6382699868938401E-2</v>
      </c>
      <c r="D100" s="28">
        <f t="shared" si="18"/>
        <v>-4.1115293869762013</v>
      </c>
      <c r="E100" s="28">
        <f t="shared" si="19"/>
        <v>-6.7357951949151396E-2</v>
      </c>
      <c r="G100" s="28"/>
      <c r="H100" s="28"/>
      <c r="I100" s="28"/>
      <c r="J100" s="28"/>
      <c r="K100" s="28"/>
    </row>
    <row r="101" spans="1:11" x14ac:dyDescent="0.25">
      <c r="A101" s="28" t="s">
        <v>137</v>
      </c>
      <c r="B101" s="5">
        <v>1250</v>
      </c>
      <c r="C101" s="28">
        <f t="shared" si="17"/>
        <v>8.1913499344692012E-2</v>
      </c>
      <c r="D101" s="28">
        <f t="shared" si="18"/>
        <v>-2.5020914745421012</v>
      </c>
      <c r="E101" s="28">
        <f t="shared" si="19"/>
        <v>-0.20495506836026389</v>
      </c>
    </row>
    <row r="102" spans="1:11" x14ac:dyDescent="0.25">
      <c r="A102" s="28" t="s">
        <v>138</v>
      </c>
      <c r="B102" s="5">
        <v>250</v>
      </c>
      <c r="C102" s="28">
        <f t="shared" si="17"/>
        <v>1.6382699868938401E-2</v>
      </c>
      <c r="D102" s="28">
        <f t="shared" si="18"/>
        <v>-4.1115293869762013</v>
      </c>
      <c r="E102" s="28">
        <f t="shared" si="19"/>
        <v>-6.7357951949151396E-2</v>
      </c>
    </row>
    <row r="103" spans="1:11" x14ac:dyDescent="0.25">
      <c r="A103" s="28" t="s">
        <v>139</v>
      </c>
      <c r="B103" s="5">
        <v>5</v>
      </c>
      <c r="C103" s="28">
        <f t="shared" si="17"/>
        <v>3.2765399737876802E-4</v>
      </c>
      <c r="D103" s="28">
        <f t="shared" si="18"/>
        <v>-8.0235523924043477</v>
      </c>
      <c r="E103" s="28">
        <f t="shared" si="19"/>
        <v>-2.6289490145492622E-3</v>
      </c>
    </row>
    <row r="104" spans="1:11" x14ac:dyDescent="0.25">
      <c r="A104" s="28" t="s">
        <v>140</v>
      </c>
      <c r="B104" s="5">
        <v>5</v>
      </c>
      <c r="C104" s="28">
        <f t="shared" si="17"/>
        <v>3.2765399737876802E-4</v>
      </c>
      <c r="D104" s="28">
        <f t="shared" si="18"/>
        <v>-8.0235523924043477</v>
      </c>
      <c r="E104" s="28">
        <f t="shared" si="19"/>
        <v>-2.6289490145492622E-3</v>
      </c>
    </row>
    <row r="105" spans="1:11" x14ac:dyDescent="0.25">
      <c r="A105" s="28" t="s">
        <v>141</v>
      </c>
      <c r="B105" s="5">
        <v>250</v>
      </c>
      <c r="C105" s="28">
        <f t="shared" si="17"/>
        <v>1.6382699868938401E-2</v>
      </c>
      <c r="D105" s="28">
        <f t="shared" si="18"/>
        <v>-4.1115293869762013</v>
      </c>
      <c r="E105" s="28">
        <f t="shared" si="19"/>
        <v>-6.7357951949151396E-2</v>
      </c>
    </row>
    <row r="106" spans="1:11" x14ac:dyDescent="0.25">
      <c r="A106" s="28"/>
      <c r="B106" s="28"/>
      <c r="C106" s="28"/>
      <c r="D106" s="28"/>
      <c r="E106" s="28"/>
    </row>
    <row r="107" spans="1:11" x14ac:dyDescent="0.25">
      <c r="A107" s="28"/>
      <c r="B107" s="28"/>
      <c r="C107" s="28"/>
      <c r="D107" s="28"/>
      <c r="E107" s="32">
        <f>SUM(E88:E105)*-1</f>
        <v>2.2979949427894431</v>
      </c>
    </row>
    <row r="108" spans="1:11" x14ac:dyDescent="0.25">
      <c r="A108" s="28"/>
      <c r="B108" s="28"/>
      <c r="C108" s="28"/>
      <c r="D108" s="28"/>
      <c r="E108" s="28"/>
    </row>
    <row r="111" spans="1:11" ht="15.75" x14ac:dyDescent="0.25">
      <c r="A111" s="36" t="s">
        <v>132</v>
      </c>
      <c r="B111" s="36"/>
      <c r="C111" s="36"/>
      <c r="D111" s="36"/>
      <c r="E111" s="36"/>
      <c r="G111" s="36" t="s">
        <v>133</v>
      </c>
      <c r="H111" s="36"/>
      <c r="I111" s="36"/>
      <c r="J111" s="36"/>
      <c r="K111" s="36"/>
    </row>
    <row r="112" spans="1:11" ht="15.75" x14ac:dyDescent="0.25">
      <c r="A112" s="31" t="s">
        <v>111</v>
      </c>
      <c r="B112" s="31" t="s">
        <v>112</v>
      </c>
      <c r="C112" s="31" t="s">
        <v>113</v>
      </c>
      <c r="D112" s="31" t="s">
        <v>114</v>
      </c>
      <c r="E112" s="31" t="s">
        <v>115</v>
      </c>
      <c r="G112" s="31" t="s">
        <v>111</v>
      </c>
      <c r="H112" s="31" t="s">
        <v>112</v>
      </c>
      <c r="I112" s="31" t="s">
        <v>113</v>
      </c>
      <c r="J112" s="31" t="s">
        <v>114</v>
      </c>
      <c r="K112" s="31" t="s">
        <v>115</v>
      </c>
    </row>
    <row r="113" spans="1:11" x14ac:dyDescent="0.25">
      <c r="A113" s="28" t="s">
        <v>116</v>
      </c>
      <c r="B113" s="5">
        <v>85</v>
      </c>
      <c r="C113" s="28">
        <f>B113/1020</f>
        <v>8.3333333333333329E-2</v>
      </c>
      <c r="D113" s="28">
        <f>LN(C113)</f>
        <v>-2.4849066497880004</v>
      </c>
      <c r="E113" s="28">
        <f>C113*D113</f>
        <v>-0.20707555414900003</v>
      </c>
      <c r="G113" s="28" t="s">
        <v>116</v>
      </c>
      <c r="H113" s="5">
        <v>85</v>
      </c>
      <c r="I113" s="28">
        <f>H113/855</f>
        <v>9.9415204678362568E-2</v>
      </c>
      <c r="J113" s="28">
        <f>LN(I113)</f>
        <v>-2.3084502124464437</v>
      </c>
      <c r="K113" s="28">
        <f>I113*J113</f>
        <v>-0.22949505036017276</v>
      </c>
    </row>
    <row r="114" spans="1:11" x14ac:dyDescent="0.25">
      <c r="A114" s="28" t="s">
        <v>117</v>
      </c>
      <c r="B114" s="5">
        <v>425</v>
      </c>
      <c r="C114" s="28">
        <f t="shared" ref="C114:C120" si="23">B114/1020</f>
        <v>0.41666666666666669</v>
      </c>
      <c r="D114" s="28">
        <f t="shared" ref="D114:D120" si="24">LN(C114)</f>
        <v>-0.87546873735389985</v>
      </c>
      <c r="E114" s="28">
        <f t="shared" ref="E114:E120" si="25">C114*D114</f>
        <v>-0.36477864056412496</v>
      </c>
      <c r="G114" s="28" t="s">
        <v>117</v>
      </c>
      <c r="H114" s="5">
        <v>85</v>
      </c>
      <c r="I114" s="28">
        <f t="shared" ref="I114:I121" si="26">H114/855</f>
        <v>9.9415204678362568E-2</v>
      </c>
      <c r="J114" s="28">
        <f t="shared" ref="J114:J121" si="27">LN(I114)</f>
        <v>-2.3084502124464437</v>
      </c>
      <c r="K114" s="28">
        <f t="shared" ref="K114:K121" si="28">I114*J114</f>
        <v>-0.22949505036017276</v>
      </c>
    </row>
    <row r="115" spans="1:11" x14ac:dyDescent="0.25">
      <c r="A115" s="28" t="s">
        <v>118</v>
      </c>
      <c r="B115" s="5">
        <v>85</v>
      </c>
      <c r="C115" s="28">
        <f t="shared" si="23"/>
        <v>8.3333333333333329E-2</v>
      </c>
      <c r="D115" s="28">
        <f t="shared" si="24"/>
        <v>-2.4849066497880004</v>
      </c>
      <c r="E115" s="28">
        <f t="shared" si="25"/>
        <v>-0.20707555414900003</v>
      </c>
      <c r="G115" s="28" t="s">
        <v>118</v>
      </c>
      <c r="H115" s="5">
        <v>170</v>
      </c>
      <c r="I115" s="28">
        <f t="shared" si="26"/>
        <v>0.19883040935672514</v>
      </c>
      <c r="J115" s="28">
        <f t="shared" si="27"/>
        <v>-1.6153030318864985</v>
      </c>
      <c r="K115" s="28">
        <f t="shared" si="28"/>
        <v>-0.3211713630651517</v>
      </c>
    </row>
    <row r="116" spans="1:11" x14ac:dyDescent="0.25">
      <c r="A116" s="28" t="s">
        <v>119</v>
      </c>
      <c r="B116" s="5">
        <v>85</v>
      </c>
      <c r="C116" s="28">
        <f t="shared" si="23"/>
        <v>8.3333333333333329E-2</v>
      </c>
      <c r="D116" s="28">
        <f t="shared" si="24"/>
        <v>-2.4849066497880004</v>
      </c>
      <c r="E116" s="28">
        <f t="shared" si="25"/>
        <v>-0.20707555414900003</v>
      </c>
      <c r="G116" s="28" t="s">
        <v>119</v>
      </c>
      <c r="H116" s="5">
        <v>85</v>
      </c>
      <c r="I116" s="28">
        <f t="shared" si="26"/>
        <v>9.9415204678362568E-2</v>
      </c>
      <c r="J116" s="28">
        <f t="shared" si="27"/>
        <v>-2.3084502124464437</v>
      </c>
      <c r="K116" s="28">
        <f t="shared" si="28"/>
        <v>-0.22949505036017276</v>
      </c>
    </row>
    <row r="117" spans="1:11" x14ac:dyDescent="0.25">
      <c r="A117" s="28" t="s">
        <v>120</v>
      </c>
      <c r="B117" s="5">
        <v>85</v>
      </c>
      <c r="C117" s="28">
        <f t="shared" si="23"/>
        <v>8.3333333333333329E-2</v>
      </c>
      <c r="D117" s="28">
        <f t="shared" si="24"/>
        <v>-2.4849066497880004</v>
      </c>
      <c r="E117" s="28">
        <f t="shared" si="25"/>
        <v>-0.20707555414900003</v>
      </c>
      <c r="G117" s="28" t="s">
        <v>120</v>
      </c>
      <c r="H117" s="5">
        <v>85</v>
      </c>
      <c r="I117" s="28">
        <f t="shared" si="26"/>
        <v>9.9415204678362568E-2</v>
      </c>
      <c r="J117" s="28">
        <f t="shared" si="27"/>
        <v>-2.3084502124464437</v>
      </c>
      <c r="K117" s="28">
        <f t="shared" si="28"/>
        <v>-0.22949505036017276</v>
      </c>
    </row>
    <row r="118" spans="1:11" x14ac:dyDescent="0.25">
      <c r="A118" s="28" t="s">
        <v>121</v>
      </c>
      <c r="B118" s="5">
        <v>85</v>
      </c>
      <c r="C118" s="28">
        <f t="shared" si="23"/>
        <v>8.3333333333333329E-2</v>
      </c>
      <c r="D118" s="28">
        <f t="shared" si="24"/>
        <v>-2.4849066497880004</v>
      </c>
      <c r="E118" s="28">
        <f t="shared" si="25"/>
        <v>-0.20707555414900003</v>
      </c>
      <c r="G118" s="28" t="s">
        <v>121</v>
      </c>
      <c r="H118" s="5">
        <v>85</v>
      </c>
      <c r="I118" s="28">
        <f t="shared" si="26"/>
        <v>9.9415204678362568E-2</v>
      </c>
      <c r="J118" s="28">
        <f t="shared" si="27"/>
        <v>-2.3084502124464437</v>
      </c>
      <c r="K118" s="28">
        <f t="shared" si="28"/>
        <v>-0.22949505036017276</v>
      </c>
    </row>
    <row r="119" spans="1:11" x14ac:dyDescent="0.25">
      <c r="A119" s="28" t="s">
        <v>122</v>
      </c>
      <c r="B119" s="5">
        <v>85</v>
      </c>
      <c r="C119" s="28">
        <f t="shared" si="23"/>
        <v>8.3333333333333329E-2</v>
      </c>
      <c r="D119" s="28">
        <f t="shared" si="24"/>
        <v>-2.4849066497880004</v>
      </c>
      <c r="E119" s="28">
        <f t="shared" si="25"/>
        <v>-0.20707555414900003</v>
      </c>
      <c r="G119" s="28" t="s">
        <v>122</v>
      </c>
      <c r="H119" s="5">
        <v>85</v>
      </c>
      <c r="I119" s="28">
        <f t="shared" si="26"/>
        <v>9.9415204678362568E-2</v>
      </c>
      <c r="J119" s="28">
        <f t="shared" si="27"/>
        <v>-2.3084502124464437</v>
      </c>
      <c r="K119" s="28">
        <f t="shared" si="28"/>
        <v>-0.22949505036017276</v>
      </c>
    </row>
    <row r="120" spans="1:11" x14ac:dyDescent="0.25">
      <c r="A120" s="28" t="s">
        <v>123</v>
      </c>
      <c r="B120" s="5">
        <v>85</v>
      </c>
      <c r="C120" s="28">
        <f t="shared" si="23"/>
        <v>8.3333333333333329E-2</v>
      </c>
      <c r="D120" s="28">
        <f t="shared" si="24"/>
        <v>-2.4849066497880004</v>
      </c>
      <c r="E120" s="28">
        <f t="shared" si="25"/>
        <v>-0.20707555414900003</v>
      </c>
      <c r="G120" s="28" t="s">
        <v>123</v>
      </c>
      <c r="H120" s="5">
        <v>5</v>
      </c>
      <c r="I120" s="28">
        <f t="shared" si="26"/>
        <v>5.8479532163742687E-3</v>
      </c>
      <c r="J120" s="28">
        <f t="shared" si="27"/>
        <v>-5.1416635565026603</v>
      </c>
      <c r="K120" s="28">
        <f t="shared" si="28"/>
        <v>-3.0068207932764095E-2</v>
      </c>
    </row>
    <row r="121" spans="1:11" x14ac:dyDescent="0.25">
      <c r="A121" s="28" t="s">
        <v>124</v>
      </c>
      <c r="B121" s="28"/>
      <c r="C121" s="28"/>
      <c r="D121" s="28"/>
      <c r="E121" s="28"/>
      <c r="G121" s="28" t="s">
        <v>124</v>
      </c>
      <c r="H121" s="5">
        <v>170</v>
      </c>
      <c r="I121" s="28">
        <f t="shared" si="26"/>
        <v>0.19883040935672514</v>
      </c>
      <c r="J121" s="28">
        <f t="shared" si="27"/>
        <v>-1.6153030318864985</v>
      </c>
      <c r="K121" s="28">
        <f t="shared" si="28"/>
        <v>-0.3211713630651517</v>
      </c>
    </row>
    <row r="122" spans="1:11" x14ac:dyDescent="0.25">
      <c r="A122" s="28" t="s">
        <v>125</v>
      </c>
      <c r="B122" s="28"/>
      <c r="C122" s="28"/>
      <c r="D122" s="28"/>
      <c r="E122" s="32">
        <f>SUM(E113:E120)*-1</f>
        <v>1.8143075196071257</v>
      </c>
      <c r="G122" s="28" t="s">
        <v>125</v>
      </c>
      <c r="H122" s="28"/>
      <c r="I122" s="28"/>
      <c r="J122" s="28"/>
      <c r="K122" s="28"/>
    </row>
    <row r="123" spans="1:11" x14ac:dyDescent="0.25">
      <c r="G123" s="28"/>
      <c r="H123" s="28"/>
      <c r="I123" s="28"/>
      <c r="J123" s="28"/>
      <c r="K123" s="32">
        <f>SUM(K113:K121)*-1</f>
        <v>2.0493812362241037</v>
      </c>
    </row>
    <row r="124" spans="1:11" x14ac:dyDescent="0.25">
      <c r="G124" s="28"/>
      <c r="H124" s="28"/>
      <c r="I124" s="28"/>
      <c r="J124" s="28"/>
      <c r="K124" s="28"/>
    </row>
    <row r="125" spans="1:11" x14ac:dyDescent="0.25">
      <c r="G125" s="28"/>
      <c r="H125" s="28"/>
      <c r="I125" s="28"/>
      <c r="J125" s="28"/>
      <c r="K125" s="28"/>
    </row>
  </sheetData>
  <mergeCells count="12">
    <mergeCell ref="A86:E86"/>
    <mergeCell ref="G86:K86"/>
    <mergeCell ref="A111:E111"/>
    <mergeCell ref="G111:K111"/>
    <mergeCell ref="M9:M10"/>
    <mergeCell ref="A63:E63"/>
    <mergeCell ref="G63:K63"/>
    <mergeCell ref="N9:P9"/>
    <mergeCell ref="A9:E9"/>
    <mergeCell ref="G9:K9"/>
    <mergeCell ref="A46:E46"/>
    <mergeCell ref="G46:K46"/>
  </mergeCells>
  <phoneticPr fontId="11" type="noConversion"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Densidade</vt:lpstr>
      <vt:lpstr>Riqueza</vt:lpstr>
      <vt:lpstr>AB Relativa</vt:lpstr>
      <vt:lpstr>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Skroski</dc:creator>
  <cp:lastModifiedBy>Leonardo Skroski</cp:lastModifiedBy>
  <dcterms:created xsi:type="dcterms:W3CDTF">2023-05-23T22:58:37Z</dcterms:created>
  <dcterms:modified xsi:type="dcterms:W3CDTF">2023-05-31T21:47:23Z</dcterms:modified>
</cp:coreProperties>
</file>