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CACL\15. LICENCIAMENTO SIMPLIFICADO - LS\4. Equipe - LS\Novos Procedimentos 2026\"/>
    </mc:Choice>
  </mc:AlternateContent>
  <xr:revisionPtr revIDLastSave="0" documentId="8_{556D225B-4087-4D92-8BED-7FE5AD20BF65}" xr6:coauthVersionLast="36" xr6:coauthVersionMax="36" xr10:uidLastSave="{00000000-0000-0000-0000-000000000000}"/>
  <bookViews>
    <workbookView xWindow="0" yWindow="0" windowWidth="28800" windowHeight="12225" xr2:uid="{D604296F-339C-460E-9577-9D4DF593CAB9}"/>
  </bookViews>
  <sheets>
    <sheet name="Planilha1" sheetId="1" r:id="rId1"/>
    <sheet name="Planilha2" sheetId="2" state="hidden" r:id="rId2"/>
  </sheets>
  <definedNames>
    <definedName name="_xlnm.Print_Area" localSheetId="0">Planilha1!$B$1:$F$37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T3" i="2" l="1"/>
  <c r="R3" i="2"/>
  <c r="R4" i="2" s="1"/>
  <c r="R5" i="2" l="1"/>
  <c r="S3" i="2" l="1"/>
  <c r="S5" i="2" l="1"/>
  <c r="E19" i="1" s="1"/>
  <c r="E18" i="1"/>
  <c r="T4" i="2"/>
  <c r="O3" i="2"/>
  <c r="O4" i="2"/>
  <c r="O5" i="2"/>
  <c r="O6" i="2"/>
  <c r="O7" i="2"/>
  <c r="O8" i="2"/>
  <c r="S6" i="2" s="1"/>
  <c r="E20" i="1" s="1"/>
  <c r="O2" i="2"/>
  <c r="R6" i="2" s="1"/>
  <c r="B13" i="1" l="1"/>
  <c r="T6" i="2"/>
  <c r="E14" i="1" s="1"/>
  <c r="T5" i="2"/>
  <c r="E13" i="1" s="1"/>
  <c r="U5" i="2" l="1"/>
  <c r="U6" i="2"/>
  <c r="B37" i="1"/>
  <c r="V6" i="2" l="1"/>
</calcChain>
</file>

<file path=xl/sharedStrings.xml><?xml version="1.0" encoding="utf-8"?>
<sst xmlns="http://schemas.openxmlformats.org/spreadsheetml/2006/main" count="86" uniqueCount="74">
  <si>
    <t>23.01</t>
  </si>
  <si>
    <t>Transporte rodoviário de produtos perigosos, exceto transporte interestadual e de material radioativo ou agrotóxicos</t>
  </si>
  <si>
    <t>23.02</t>
  </si>
  <si>
    <t>Transporte rodoviário de agrotóxicos e equivalentes, incluindo saneantes domissanitários, para aplicação no controle de pragas e vetores e para uso em desinsetização, fumigação e expurgo, exceto transporte interestadual e de material radioativo</t>
  </si>
  <si>
    <t>23.03</t>
  </si>
  <si>
    <t>Coleta e transporte rodoviário de resíduos perigosos, exceto transporte interestadual e de material radioativo e/ou óleo lubrificante usado e/ou contaminado (OLUC)</t>
  </si>
  <si>
    <t>23.04</t>
  </si>
  <si>
    <t>Coleta e transporte rodoviário de resíduos de serviços de saúde, exceto transporte interestadual e de material radioativo</t>
  </si>
  <si>
    <t>23.05</t>
  </si>
  <si>
    <t>Coleta e transporte rodoviário de óleo lubrificante usado e/ou contaminado (OLUC), exceto transporte interestadual</t>
  </si>
  <si>
    <t>23.06</t>
  </si>
  <si>
    <t>Coleta e transporte rodoviário de resíduos sólidos urbanos classificados como lixo domiciliar e equiparados</t>
  </si>
  <si>
    <t>23.07</t>
  </si>
  <si>
    <t>Coleta e transporte rodoviário de resíduos sólidos não perigosos oriundos da construção civil nos termos da Resolução Conama 307/2002</t>
  </si>
  <si>
    <t>23.08</t>
  </si>
  <si>
    <t>Coleta e transporte rodoviário de resíduos não perigosos (Classe II), exceto resíduos sólidos urbanos e oriundos da construção civil</t>
  </si>
  <si>
    <t>23.09</t>
  </si>
  <si>
    <t>Coleta e transporte rodoviário de líquidos e semi-sólidos provenientes de limpeza de redes de drenagem pluvial, de sanitários portáteis e de sistemas individuais de tratamento de esgoto  doméstico (limpa-fossa), exceto Classe I</t>
  </si>
  <si>
    <t>VRTE</t>
  </si>
  <si>
    <t>↓</t>
  </si>
  <si>
    <t>TAXAS**</t>
  </si>
  <si>
    <t>SIMULAÇÃO DE ENQUADRAMENTO</t>
  </si>
  <si>
    <t>Exclusivo para atividades de transporte Rodoviário de Cargas Perigosas e Resíduos</t>
  </si>
  <si>
    <t>* ENQUADRAMENTO  CONFORME IN Nº 15/2020 DO IEMA</t>
  </si>
  <si>
    <t>ASSINATURA</t>
  </si>
  <si>
    <t>LAU para Transporte de resíduos não perigosos</t>
  </si>
  <si>
    <t>LAU para Transporte de resíduos não perigosos - 10 anos</t>
  </si>
  <si>
    <t>LAU para Transporte de resíduos não perigosos  - regularização</t>
  </si>
  <si>
    <t>VALOR (R$)</t>
  </si>
  <si>
    <t>Adicional por placa licenciada***</t>
  </si>
  <si>
    <t>ENQ.</t>
  </si>
  <si>
    <t>ENQ. DESCRIÇÃO</t>
  </si>
  <si>
    <t>VRTE 2023</t>
  </si>
  <si>
    <t>ENQ. LISTA</t>
  </si>
  <si>
    <t>ENQUADRAMENTO*</t>
  </si>
  <si>
    <t>Escolha o tipo de licença</t>
  </si>
  <si>
    <t>TIPO DE LICENÇA</t>
  </si>
  <si>
    <t>TOTAL</t>
  </si>
  <si>
    <t>REF</t>
  </si>
  <si>
    <t>CÁLCULO</t>
  </si>
  <si>
    <t>Valor enq.</t>
  </si>
  <si>
    <t>Adic. Veic.</t>
  </si>
  <si>
    <t>Tipo Lic.</t>
  </si>
  <si>
    <t>2- LAU 10 anos</t>
  </si>
  <si>
    <t>3- LAU Regularização</t>
  </si>
  <si>
    <t>R$</t>
  </si>
  <si>
    <t>1- LAU</t>
  </si>
  <si>
    <t>TAXAS¹</t>
  </si>
  <si>
    <t>Adicional por placa licenciada²</t>
  </si>
  <si>
    <t>Valor do Adicional por placa licenciada²</t>
  </si>
  <si>
    <t>VRTE¹</t>
  </si>
  <si>
    <r>
      <t xml:space="preserve">↓ Escolha a atividade de enquadramento no campo a seguir </t>
    </r>
    <r>
      <rPr>
        <sz val="9"/>
        <color theme="1"/>
        <rFont val="Calibri"/>
        <family val="2"/>
      </rPr>
      <t>↓</t>
    </r>
  </si>
  <si>
    <t>LAU para Transporte de produtos ou resíduos perigosos</t>
  </si>
  <si>
    <t>LAU para Transporte de produtos ou resíduos perigosos - 10 anos</t>
  </si>
  <si>
    <t>LAU para Transporte de produtos ou resíduos perigosos - regularização</t>
  </si>
  <si>
    <t>Número Total de Veículos Transportadores por Placa</t>
  </si>
  <si>
    <t>Número de Veículos Taxados com o "adicional por placa licenciada" **</t>
  </si>
  <si>
    <t>** COBRADO QUANDO EXCEDER 10 VEÍCULOS</t>
  </si>
  <si>
    <t>Licença Ambiental Única para Transporte de produtos ou resíduos perigosos</t>
  </si>
  <si>
    <t>Licença Ambiental Única para Transporte de produtos ou resíduos perigosos - 10 anos</t>
  </si>
  <si>
    <t>Licença Ambiental Única para Transporte de produtos ou resíduos perigosos - regularização</t>
  </si>
  <si>
    <t>Licença Ambiental Única para Transporte de resíduos não perigosos</t>
  </si>
  <si>
    <t>Licença Ambiental Única para Transporte de resíduos não perigosos - 10 anos</t>
  </si>
  <si>
    <t>Licença Ambiental Única para Transporte de resíduos não perigosos  - regularização</t>
  </si>
  <si>
    <t>23.01 - Transporte rodoviário de produtos perigosos, exceto transporte interestadual e de material radioativo ou agrotóxicos</t>
  </si>
  <si>
    <t>23.02 - Transporte rodoviário de agrotóxicos e equivalentes, incluindo saneantes domissanitários, para aplicação no controle de pragas e vetores e para uso em desinsetização, fumigação e expurgo, exceto transporte interestadual e de material radioativo</t>
  </si>
  <si>
    <t>23.03 - Coleta e transporte rodoviário de resíduos perigosos, exceto transporte interestadual e de material radioativo e/ou óleo lubrificante usado e/ou contaminado (OLUC)</t>
  </si>
  <si>
    <t>23.04 - Coleta e transporte rodoviário de resíduos de serviços de saúde, exceto transporte interestadual e de material radioativo</t>
  </si>
  <si>
    <t>23.05 - Coleta e transporte rodoviário de óleo lubrificante usado e/ou contaminado (OLUC), exceto transporte interestadual</t>
  </si>
  <si>
    <t>23.06 - Coleta e transporte rodoviário de resíduos sólidos urbanos classificados como lixo domiciliar e equiparados</t>
  </si>
  <si>
    <t>23.07 - Coleta e transporte rodoviário de resíduos sólidos não perigosos oriundos da construção civil nos termos da Resolução Conama 307/2002</t>
  </si>
  <si>
    <t>23.08 - Coleta e transporte rodoviário de resíduos não perigosos (Classe II), exceto resíduos sólidos urbanos e oriundos da construção civil</t>
  </si>
  <si>
    <t>23.09 - Coleta e transporte rodoviário de líquidos e semi-sólidos provenientes de limpeza de redes de drenagem pluvial, de sanitários portáteis e de sistemas individuais de tratamento de esgoto  doméstico (limpa-fossa), exceto Classe I</t>
  </si>
  <si>
    <t>¹ VALORES DAS TAXAS EM VRTE CONFORME LEI ESTADUAL Nº 7001/2001 (ATUALIZADA PELA LEI ESTADUAL Nº 11.229/2020). 
¹ VRTE (VALOR DE REFERENCIA DO TESOURO ESTADUAL). ANO DE 2026 = R$ 4,9383
² PAGO SOMENTE NOS CASOS SUPERIORES A 10 VEÍCULOS. MULTIPLICAR ESTE VALOR PELO NÚMERO DE VEÍCULOS QUE EXCEDEREM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</si>
</sst>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9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0" fontId="0" fillId="0" borderId="5" xfId="0" applyBorder="1"/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" xfId="0" applyFont="1" applyBorder="1" applyAlignment="1" applyProtection="1">
      <alignment horizontal="center"/>
      <protection hidden="1"/>
    </xf>
    <xf numFmtId="2" fontId="0" fillId="0" borderId="1" xfId="0" applyNumberFormat="1" applyFont="1" applyBorder="1" applyAlignment="1" applyProtection="1">
      <alignment horizontal="center"/>
      <protection hidden="1"/>
    </xf>
    <xf numFmtId="1" fontId="0" fillId="0" borderId="1" xfId="0" applyNumberFormat="1" applyFont="1" applyBorder="1" applyAlignment="1" applyProtection="1">
      <alignment horizontal="center"/>
      <protection hidden="1"/>
    </xf>
    <xf numFmtId="164" fontId="0" fillId="0" borderId="0" xfId="0" applyNumberFormat="1" applyAlignment="1" applyProtection="1">
      <protection hidden="1"/>
    </xf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0" fillId="0" borderId="8" xfId="0" applyFont="1" applyBorder="1" applyAlignment="1" applyProtection="1">
      <alignment horizontal="left" vertical="center" wrapText="1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2" fontId="0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6" fillId="0" borderId="17" xfId="0" applyFont="1" applyBorder="1" applyAlignment="1" applyProtection="1">
      <alignment horizontal="left" vertical="center" wrapText="1"/>
      <protection locked="0" hidden="1"/>
    </xf>
    <xf numFmtId="0" fontId="6" fillId="0" borderId="15" xfId="0" applyFont="1" applyBorder="1" applyAlignment="1" applyProtection="1">
      <alignment horizontal="left" vertical="center" wrapText="1"/>
      <protection locked="0" hidden="1"/>
    </xf>
    <xf numFmtId="0" fontId="6" fillId="0" borderId="16" xfId="0" applyFont="1" applyBorder="1" applyAlignment="1" applyProtection="1">
      <alignment horizontal="left" vertical="center" wrapText="1"/>
      <protection locked="0"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2" fontId="0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left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11" xfId="0" applyFont="1" applyBorder="1" applyAlignment="1" applyProtection="1">
      <alignment horizontal="left" indent="1"/>
      <protection hidden="1"/>
    </xf>
    <xf numFmtId="0" fontId="0" fillId="0" borderId="13" xfId="0" applyFont="1" applyBorder="1" applyAlignment="1" applyProtection="1">
      <alignment horizontal="left" indent="1"/>
      <protection hidden="1"/>
    </xf>
    <xf numFmtId="0" fontId="0" fillId="0" borderId="7" xfId="0" applyFont="1" applyBorder="1" applyAlignment="1" applyProtection="1">
      <alignment horizontal="left" indent="1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 indent="1"/>
      <protection hidden="1"/>
    </xf>
    <xf numFmtId="0" fontId="4" fillId="0" borderId="11" xfId="0" applyFont="1" applyBorder="1" applyAlignment="1" applyProtection="1">
      <alignment horizontal="left" vertical="center" wrapText="1"/>
      <protection hidden="1"/>
    </xf>
    <xf numFmtId="0" fontId="4" fillId="0" borderId="13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8" xfId="0" applyFont="1" applyBorder="1" applyAlignment="1" applyProtection="1">
      <alignment horizontal="left" vertical="center"/>
      <protection hidden="1"/>
    </xf>
    <xf numFmtId="0" fontId="0" fillId="0" borderId="6" xfId="0" applyFont="1" applyBorder="1" applyAlignment="1" applyProtection="1">
      <alignment horizontal="left" vertical="center"/>
      <protection hidden="1"/>
    </xf>
    <xf numFmtId="0" fontId="0" fillId="0" borderId="5" xfId="0" applyFont="1" applyBorder="1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left" vertical="center" wrapText="1"/>
      <protection hidden="1"/>
    </xf>
    <xf numFmtId="0" fontId="0" fillId="0" borderId="8" xfId="0" applyFont="1" applyBorder="1" applyAlignment="1" applyProtection="1">
      <alignment horizontal="left" vertical="center" wrapText="1"/>
      <protection hidden="1"/>
    </xf>
    <xf numFmtId="0" fontId="0" fillId="0" borderId="6" xfId="0" applyFont="1" applyBorder="1" applyAlignment="1" applyProtection="1">
      <alignment horizontal="lef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1" fontId="0" fillId="0" borderId="14" xfId="0" applyNumberFormat="1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6D8C-91D6-4072-8AF4-C881A53F4FB0}">
  <sheetPr>
    <pageSetUpPr fitToPage="1"/>
  </sheetPr>
  <dimension ref="B1:G37"/>
  <sheetViews>
    <sheetView showGridLines="0" tabSelected="1" zoomScaleNormal="100" workbookViewId="0">
      <selection activeCell="I8" sqref="I8"/>
    </sheetView>
  </sheetViews>
  <sheetFormatPr defaultRowHeight="15" x14ac:dyDescent="0.25"/>
  <cols>
    <col min="1" max="1" width="3.85546875" customWidth="1"/>
    <col min="2" max="2" width="19.5703125" customWidth="1"/>
    <col min="3" max="3" width="43.28515625" customWidth="1"/>
    <col min="4" max="4" width="15.7109375" customWidth="1"/>
    <col min="5" max="5" width="9.42578125" customWidth="1"/>
    <col min="6" max="6" width="11.28515625" customWidth="1"/>
  </cols>
  <sheetData>
    <row r="1" spans="2:7" ht="15.75" x14ac:dyDescent="0.25">
      <c r="B1" s="52" t="s">
        <v>21</v>
      </c>
      <c r="C1" s="52"/>
      <c r="D1" s="52"/>
      <c r="E1" s="52"/>
      <c r="F1" s="52"/>
    </row>
    <row r="2" spans="2:7" x14ac:dyDescent="0.25">
      <c r="B2" s="53" t="s">
        <v>22</v>
      </c>
      <c r="C2" s="53"/>
      <c r="D2" s="53"/>
      <c r="E2" s="53"/>
      <c r="F2" s="53"/>
    </row>
    <row r="3" spans="2:7" ht="13.5" customHeight="1" x14ac:dyDescent="0.25">
      <c r="B3" s="48"/>
      <c r="C3" s="48"/>
      <c r="D3" s="48"/>
      <c r="E3" s="48"/>
      <c r="F3" s="48"/>
    </row>
    <row r="4" spans="2:7" ht="7.5" customHeight="1" x14ac:dyDescent="0.25">
      <c r="B4" s="49"/>
      <c r="C4" s="49"/>
      <c r="D4" s="49"/>
      <c r="E4" s="49"/>
      <c r="F4" s="49"/>
    </row>
    <row r="5" spans="2:7" ht="13.5" customHeight="1" x14ac:dyDescent="0.25">
      <c r="B5" s="37"/>
      <c r="C5" s="37"/>
      <c r="D5" s="37"/>
      <c r="E5" s="37"/>
      <c r="F5" s="37"/>
    </row>
    <row r="6" spans="2:7" x14ac:dyDescent="0.25">
      <c r="B6" s="61" t="s">
        <v>34</v>
      </c>
      <c r="C6" s="62"/>
      <c r="D6" s="62"/>
      <c r="E6" s="62"/>
      <c r="F6" s="63"/>
      <c r="G6" s="2"/>
    </row>
    <row r="7" spans="2:7" ht="15.75" thickBot="1" x14ac:dyDescent="0.3">
      <c r="B7" s="64" t="s">
        <v>51</v>
      </c>
      <c r="C7" s="65"/>
      <c r="D7" s="65"/>
      <c r="E7" s="65"/>
      <c r="F7" s="66"/>
      <c r="G7" s="2"/>
    </row>
    <row r="8" spans="2:7" ht="75" customHeight="1" thickBot="1" x14ac:dyDescent="0.3">
      <c r="B8" s="58" t="s">
        <v>65</v>
      </c>
      <c r="C8" s="59"/>
      <c r="D8" s="59"/>
      <c r="E8" s="59"/>
      <c r="F8" s="60"/>
      <c r="G8" s="2"/>
    </row>
    <row r="9" spans="2:7" ht="13.5" customHeight="1" x14ac:dyDescent="0.25">
      <c r="B9" s="71" t="s">
        <v>23</v>
      </c>
      <c r="C9" s="71"/>
      <c r="D9" s="71"/>
      <c r="E9" s="71"/>
      <c r="F9" s="71"/>
    </row>
    <row r="10" spans="2:7" ht="13.5" customHeight="1" x14ac:dyDescent="0.25">
      <c r="B10" s="39"/>
      <c r="C10" s="39"/>
      <c r="D10" s="39"/>
      <c r="E10" s="39"/>
      <c r="F10" s="39"/>
    </row>
    <row r="11" spans="2:7" ht="15" customHeight="1" thickBot="1" x14ac:dyDescent="0.3">
      <c r="B11" s="40"/>
      <c r="C11" s="40"/>
      <c r="D11" s="41"/>
      <c r="E11" s="67" t="s">
        <v>19</v>
      </c>
      <c r="F11" s="67"/>
    </row>
    <row r="12" spans="2:7" ht="22.5" customHeight="1" thickBot="1" x14ac:dyDescent="0.3">
      <c r="B12" s="54" t="s">
        <v>35</v>
      </c>
      <c r="C12" s="55"/>
      <c r="D12" s="55"/>
      <c r="E12" s="56" t="s">
        <v>43</v>
      </c>
      <c r="F12" s="57"/>
    </row>
    <row r="13" spans="2:7" ht="22.5" customHeight="1" x14ac:dyDescent="0.25">
      <c r="B13" s="88" t="str">
        <f>_xlfn.IFNA(VLOOKUP(Planilha2!T4,Planilha2!L2:O7,2),"")</f>
        <v>Licença Ambiental Única para Transporte de produtos ou resíduos perigosos - 10 anos</v>
      </c>
      <c r="C13" s="89"/>
      <c r="D13" s="31" t="s">
        <v>18</v>
      </c>
      <c r="E13" s="92">
        <f>_xlfn.IFNA(Planilha2!T5, 0)</f>
        <v>365</v>
      </c>
      <c r="F13" s="92"/>
    </row>
    <row r="14" spans="2:7" ht="22.5" customHeight="1" x14ac:dyDescent="0.25">
      <c r="B14" s="90"/>
      <c r="C14" s="91"/>
      <c r="D14" s="31" t="s">
        <v>45</v>
      </c>
      <c r="E14" s="68">
        <f>_xlfn.IFNA(Planilha2!T6, 0)</f>
        <v>1802.4794999999999</v>
      </c>
      <c r="F14" s="69"/>
    </row>
    <row r="15" spans="2:7" ht="13.5" customHeight="1" x14ac:dyDescent="0.25">
      <c r="B15" s="45"/>
      <c r="C15" s="45"/>
      <c r="D15" s="46"/>
      <c r="E15" s="47"/>
      <c r="F15" s="46"/>
    </row>
    <row r="16" spans="2:7" ht="13.5" customHeight="1" thickBot="1" x14ac:dyDescent="0.3">
      <c r="B16" s="40"/>
      <c r="C16" s="40"/>
      <c r="D16" s="41"/>
      <c r="E16" s="67" t="s">
        <v>19</v>
      </c>
      <c r="F16" s="67"/>
    </row>
    <row r="17" spans="2:6" ht="22.5" customHeight="1" thickBot="1" x14ac:dyDescent="0.3">
      <c r="B17" s="54" t="s">
        <v>55</v>
      </c>
      <c r="C17" s="55"/>
      <c r="D17" s="55"/>
      <c r="E17" s="56">
        <v>11</v>
      </c>
      <c r="F17" s="57"/>
    </row>
    <row r="18" spans="2:6" ht="22.5" customHeight="1" thickBot="1" x14ac:dyDescent="0.3">
      <c r="B18" s="54" t="s">
        <v>56</v>
      </c>
      <c r="C18" s="55"/>
      <c r="D18" s="55"/>
      <c r="E18" s="82">
        <f>Planilha2!S3</f>
        <v>1</v>
      </c>
      <c r="F18" s="83"/>
    </row>
    <row r="19" spans="2:6" ht="22.5" customHeight="1" x14ac:dyDescent="0.25">
      <c r="B19" s="84" t="s">
        <v>49</v>
      </c>
      <c r="C19" s="85"/>
      <c r="D19" s="31" t="s">
        <v>18</v>
      </c>
      <c r="E19" s="93">
        <f>Planilha2!S5</f>
        <v>5</v>
      </c>
      <c r="F19" s="93"/>
    </row>
    <row r="20" spans="2:6" ht="22.5" customHeight="1" x14ac:dyDescent="0.25">
      <c r="B20" s="86"/>
      <c r="C20" s="87"/>
      <c r="D20" s="31" t="s">
        <v>45</v>
      </c>
      <c r="E20" s="68">
        <f>Planilha2!S6</f>
        <v>24.691499999999998</v>
      </c>
      <c r="F20" s="68"/>
    </row>
    <row r="21" spans="2:6" ht="13.5" customHeight="1" x14ac:dyDescent="0.25">
      <c r="B21" s="81" t="s">
        <v>57</v>
      </c>
      <c r="C21" s="81"/>
      <c r="D21" s="81"/>
      <c r="E21" s="81"/>
      <c r="F21" s="81"/>
    </row>
    <row r="22" spans="2:6" ht="13.5" customHeight="1" x14ac:dyDescent="0.25">
      <c r="B22" s="39"/>
      <c r="C22" s="39"/>
      <c r="D22" s="39"/>
      <c r="E22" s="39"/>
      <c r="F22" s="39"/>
    </row>
    <row r="23" spans="2:6" ht="7.5" customHeight="1" x14ac:dyDescent="0.25">
      <c r="B23" s="44"/>
      <c r="C23" s="44"/>
      <c r="D23" s="44"/>
      <c r="E23" s="44"/>
      <c r="F23" s="44"/>
    </row>
    <row r="24" spans="2:6" ht="13.5" customHeight="1" x14ac:dyDescent="0.25">
      <c r="B24" s="39"/>
      <c r="C24" s="39"/>
      <c r="D24" s="39"/>
      <c r="E24" s="39"/>
      <c r="F24" s="39"/>
    </row>
    <row r="25" spans="2:6" ht="22.5" customHeight="1" x14ac:dyDescent="0.25">
      <c r="B25" s="72" t="s">
        <v>47</v>
      </c>
      <c r="C25" s="72"/>
      <c r="D25" s="72"/>
      <c r="E25" s="38" t="s">
        <v>50</v>
      </c>
      <c r="F25" s="38" t="s">
        <v>28</v>
      </c>
    </row>
    <row r="26" spans="2:6" ht="15" customHeight="1" x14ac:dyDescent="0.25">
      <c r="B26" s="73" t="s">
        <v>52</v>
      </c>
      <c r="C26" s="74"/>
      <c r="D26" s="75"/>
      <c r="E26" s="33">
        <v>292</v>
      </c>
      <c r="F26" s="34">
        <f>E26*Planilha2!$O$9</f>
        <v>1441.9836</v>
      </c>
    </row>
    <row r="27" spans="2:6" x14ac:dyDescent="0.25">
      <c r="B27" s="73" t="s">
        <v>53</v>
      </c>
      <c r="C27" s="74"/>
      <c r="D27" s="75"/>
      <c r="E27" s="33">
        <v>365</v>
      </c>
      <c r="F27" s="34">
        <f>E27*Planilha2!$O$9</f>
        <v>1802.4794999999999</v>
      </c>
    </row>
    <row r="28" spans="2:6" x14ac:dyDescent="0.25">
      <c r="B28" s="73" t="s">
        <v>54</v>
      </c>
      <c r="C28" s="74"/>
      <c r="D28" s="75"/>
      <c r="E28" s="33">
        <v>438</v>
      </c>
      <c r="F28" s="34">
        <f>E28*Planilha2!$O$9</f>
        <v>2162.9753999999998</v>
      </c>
    </row>
    <row r="29" spans="2:6" x14ac:dyDescent="0.25">
      <c r="B29" s="73" t="s">
        <v>25</v>
      </c>
      <c r="C29" s="74"/>
      <c r="D29" s="75"/>
      <c r="E29" s="33">
        <v>209</v>
      </c>
      <c r="F29" s="34">
        <f>E29*Planilha2!$O$9</f>
        <v>1032.1047000000001</v>
      </c>
    </row>
    <row r="30" spans="2:6" x14ac:dyDescent="0.25">
      <c r="B30" s="77" t="s">
        <v>26</v>
      </c>
      <c r="C30" s="77"/>
      <c r="D30" s="77"/>
      <c r="E30" s="35">
        <v>262</v>
      </c>
      <c r="F30" s="34">
        <f>E30*Planilha2!$O$9</f>
        <v>1293.8345999999999</v>
      </c>
    </row>
    <row r="31" spans="2:6" x14ac:dyDescent="0.25">
      <c r="B31" s="77" t="s">
        <v>27</v>
      </c>
      <c r="C31" s="77"/>
      <c r="D31" s="77"/>
      <c r="E31" s="35">
        <v>314</v>
      </c>
      <c r="F31" s="34">
        <f>E31*Planilha2!$O$9</f>
        <v>1550.6261999999999</v>
      </c>
    </row>
    <row r="32" spans="2:6" x14ac:dyDescent="0.25">
      <c r="B32" s="77" t="s">
        <v>48</v>
      </c>
      <c r="C32" s="77"/>
      <c r="D32" s="77"/>
      <c r="E32" s="35">
        <v>5</v>
      </c>
      <c r="F32" s="34">
        <f>E32*Planilha2!$O$9</f>
        <v>24.691499999999998</v>
      </c>
    </row>
    <row r="33" spans="2:6" ht="39.75" customHeight="1" x14ac:dyDescent="0.25">
      <c r="B33" s="78" t="s">
        <v>73</v>
      </c>
      <c r="C33" s="79"/>
      <c r="D33" s="79"/>
      <c r="E33" s="79"/>
      <c r="F33" s="80"/>
    </row>
    <row r="34" spans="2:6" x14ac:dyDescent="0.25">
      <c r="B34" s="42"/>
      <c r="C34" s="42"/>
      <c r="D34" s="42"/>
      <c r="E34" s="42"/>
      <c r="F34" s="42"/>
    </row>
    <row r="35" spans="2:6" ht="7.5" customHeight="1" x14ac:dyDescent="0.25">
      <c r="B35" s="43"/>
      <c r="C35" s="43"/>
      <c r="D35" s="43"/>
      <c r="E35" s="43"/>
      <c r="F35" s="43"/>
    </row>
    <row r="36" spans="2:6" ht="23.25" customHeight="1" x14ac:dyDescent="0.25">
      <c r="B36" s="32"/>
      <c r="C36" s="36"/>
      <c r="D36" s="36"/>
      <c r="E36" s="36"/>
      <c r="F36" s="36"/>
    </row>
    <row r="37" spans="2:6" ht="20.25" customHeight="1" x14ac:dyDescent="0.25">
      <c r="B37" s="70">
        <f ca="1">TODAY()</f>
        <v>46141</v>
      </c>
      <c r="C37" s="70"/>
      <c r="D37" s="70"/>
      <c r="E37" s="76" t="s">
        <v>24</v>
      </c>
      <c r="F37" s="76"/>
    </row>
  </sheetData>
  <sheetProtection algorithmName="SHA-512" hashValue="nRNsC1MUPLEXuTSq4XDV0NICbLwYQwo40cxYy5xX9znd07mhQgiDiDXL/1+TUGuvWqQcm7RJdC2R7exA/zf95w==" saltValue="WaWIHQ67J+Rm7KEvTZzPZw==" spinCount="100000" sheet="1" objects="1" scenarios="1"/>
  <mergeCells count="32">
    <mergeCell ref="B21:F21"/>
    <mergeCell ref="E18:F18"/>
    <mergeCell ref="B19:C20"/>
    <mergeCell ref="B13:C14"/>
    <mergeCell ref="E13:F13"/>
    <mergeCell ref="E19:F19"/>
    <mergeCell ref="B18:D18"/>
    <mergeCell ref="B37:D37"/>
    <mergeCell ref="E11:F11"/>
    <mergeCell ref="B9:F9"/>
    <mergeCell ref="B25:D25"/>
    <mergeCell ref="B29:D29"/>
    <mergeCell ref="E37:F37"/>
    <mergeCell ref="B32:D32"/>
    <mergeCell ref="B31:D31"/>
    <mergeCell ref="B30:D30"/>
    <mergeCell ref="B33:F33"/>
    <mergeCell ref="B26:D26"/>
    <mergeCell ref="B27:D27"/>
    <mergeCell ref="B28:D28"/>
    <mergeCell ref="B12:D12"/>
    <mergeCell ref="E12:F12"/>
    <mergeCell ref="E20:F20"/>
    <mergeCell ref="B1:F1"/>
    <mergeCell ref="B2:F2"/>
    <mergeCell ref="B17:D17"/>
    <mergeCell ref="E17:F17"/>
    <mergeCell ref="B8:F8"/>
    <mergeCell ref="B6:F6"/>
    <mergeCell ref="B7:F7"/>
    <mergeCell ref="E16:F16"/>
    <mergeCell ref="E14:F14"/>
  </mergeCells>
  <dataValidations count="1">
    <dataValidation type="list" allowBlank="1" showInputMessage="1" showErrorMessage="1" sqref="C16 C11" xr:uid="{69348DCB-CF20-4CE6-8ABD-0D4A1F250222}">
      <formula1>#REF!</formula1>
    </dataValidation>
  </dataValidations>
  <printOptions horizontalCentered="1" verticalCentered="1"/>
  <pageMargins left="0.78740157480314965" right="0.78740157480314965" top="1.1811023622047245" bottom="0.78740157480314965" header="0.59055118110236227" footer="0.31496062992125984"/>
  <pageSetup paperSize="9" scale="85" fitToHeight="0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95EBD4B0-6C18-4DB8-9AA2-D65919DF13C5}">
          <x14:formula1>
            <xm:f>Planilha2!$F$2:$F$10</xm:f>
          </x14:formula1>
          <xm:sqref>B8:F8</xm:sqref>
        </x14:dataValidation>
        <x14:dataValidation type="list" allowBlank="1" showInputMessage="1" showErrorMessage="1" xr:uid="{8163D056-7CF7-48F8-8D8A-EE225C9AA69A}">
          <x14:formula1>
            <xm:f>Planilha2!$I$2:$I$4</xm:f>
          </x14:formula1>
          <xm:sqref>E12:F12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CEFF-89EA-40FE-AFEA-7ED6A14C18B3}">
  <dimension ref="B1:V12"/>
  <sheetViews>
    <sheetView topLeftCell="E4" workbookViewId="0">
      <selection activeCell="O9" sqref="O9"/>
    </sheetView>
  </sheetViews>
  <sheetFormatPr defaultRowHeight="15" x14ac:dyDescent="0.25"/>
  <cols>
    <col min="3" max="3" width="75.5703125" customWidth="1"/>
    <col min="4" max="4" width="5.42578125" bestFit="1" customWidth="1"/>
    <col min="5" max="5" width="11" bestFit="1" customWidth="1"/>
    <col min="6" max="6" width="71.7109375" customWidth="1"/>
    <col min="7" max="7" width="5.7109375" customWidth="1"/>
    <col min="8" max="8" width="5" customWidth="1"/>
    <col min="9" max="9" width="17.28515625" bestFit="1" customWidth="1"/>
    <col min="10" max="12" width="5.140625" customWidth="1"/>
    <col min="13" max="13" width="39.140625" customWidth="1"/>
    <col min="14" max="14" width="5.42578125" bestFit="1" customWidth="1"/>
    <col min="15" max="16" width="11" bestFit="1" customWidth="1"/>
    <col min="17" max="17" width="9.140625" customWidth="1"/>
    <col min="18" max="18" width="13.28515625" customWidth="1"/>
    <col min="19" max="19" width="10.28515625" customWidth="1"/>
    <col min="20" max="20" width="8.7109375" customWidth="1"/>
    <col min="21" max="21" width="9.140625" customWidth="1"/>
    <col min="22" max="22" width="12.42578125" customWidth="1"/>
  </cols>
  <sheetData>
    <row r="1" spans="2:22" x14ac:dyDescent="0.25">
      <c r="B1" s="11" t="s">
        <v>30</v>
      </c>
      <c r="C1" s="12" t="s">
        <v>31</v>
      </c>
      <c r="F1" s="11" t="s">
        <v>33</v>
      </c>
      <c r="G1" s="12" t="s">
        <v>38</v>
      </c>
      <c r="I1" s="11" t="s">
        <v>36</v>
      </c>
      <c r="J1" s="12" t="s">
        <v>38</v>
      </c>
      <c r="L1" s="26" t="s">
        <v>38</v>
      </c>
      <c r="M1" s="6" t="s">
        <v>20</v>
      </c>
      <c r="N1" s="6" t="s">
        <v>18</v>
      </c>
      <c r="O1" s="27" t="s">
        <v>28</v>
      </c>
      <c r="Q1" s="94" t="s">
        <v>39</v>
      </c>
      <c r="R1" s="95"/>
      <c r="S1" s="95"/>
      <c r="T1" s="95"/>
      <c r="U1" s="95"/>
      <c r="V1" s="96"/>
    </row>
    <row r="2" spans="2:22" ht="30" x14ac:dyDescent="0.25">
      <c r="B2" s="18" t="s">
        <v>0</v>
      </c>
      <c r="C2" s="19" t="s">
        <v>1</v>
      </c>
      <c r="D2" s="5"/>
      <c r="E2" s="4"/>
      <c r="F2" s="50" t="s">
        <v>64</v>
      </c>
      <c r="G2" s="16">
        <v>10</v>
      </c>
      <c r="H2" s="5"/>
      <c r="I2" s="7" t="s">
        <v>46</v>
      </c>
      <c r="J2" s="13">
        <v>1</v>
      </c>
      <c r="L2" s="28">
        <v>11</v>
      </c>
      <c r="M2" s="23" t="s">
        <v>58</v>
      </c>
      <c r="N2" s="1">
        <v>292</v>
      </c>
      <c r="O2" s="29">
        <f t="shared" ref="O2:O8" si="0">N2*$O$9</f>
        <v>1441.9836</v>
      </c>
      <c r="Q2" s="18"/>
      <c r="R2" s="1" t="s">
        <v>40</v>
      </c>
      <c r="S2" s="1" t="s">
        <v>41</v>
      </c>
      <c r="T2" s="1" t="s">
        <v>42</v>
      </c>
      <c r="U2" s="1" t="s">
        <v>37</v>
      </c>
      <c r="V2" s="13"/>
    </row>
    <row r="3" spans="2:22" ht="60" x14ac:dyDescent="0.25">
      <c r="B3" s="18" t="s">
        <v>2</v>
      </c>
      <c r="C3" s="19" t="s">
        <v>3</v>
      </c>
      <c r="D3" s="5"/>
      <c r="E3" s="4"/>
      <c r="F3" s="50" t="s">
        <v>65</v>
      </c>
      <c r="G3" s="16">
        <v>10</v>
      </c>
      <c r="H3" s="5"/>
      <c r="I3" s="7" t="s">
        <v>43</v>
      </c>
      <c r="J3" s="13">
        <v>2</v>
      </c>
      <c r="L3" s="28">
        <v>12</v>
      </c>
      <c r="M3" s="23" t="s">
        <v>59</v>
      </c>
      <c r="N3" s="1">
        <v>365</v>
      </c>
      <c r="O3" s="29">
        <f t="shared" si="0"/>
        <v>1802.4794999999999</v>
      </c>
      <c r="Q3" s="18"/>
      <c r="R3" s="30">
        <f>IF(Planilha1!B8="",0,VALUE(MID(Planilha1!B8,5,1)))</f>
        <v>2</v>
      </c>
      <c r="S3" s="1">
        <f>IF(Planilha1!E17&lt;11,0,Planilha1!E17-10)</f>
        <v>1</v>
      </c>
      <c r="T3" s="1">
        <f>IF(OR(Planilha1!B8="",Planilha1!E12=""),0,VALUE(MID(Planilha1!E12,1,1)))</f>
        <v>2</v>
      </c>
      <c r="U3" s="1"/>
      <c r="V3" s="9"/>
    </row>
    <row r="4" spans="2:22" ht="45" x14ac:dyDescent="0.25">
      <c r="B4" s="18" t="s">
        <v>4</v>
      </c>
      <c r="C4" s="19" t="s">
        <v>5</v>
      </c>
      <c r="D4" s="5"/>
      <c r="E4" s="4"/>
      <c r="F4" s="50" t="s">
        <v>66</v>
      </c>
      <c r="G4" s="16">
        <v>10</v>
      </c>
      <c r="H4" s="5"/>
      <c r="I4" s="7" t="s">
        <v>44</v>
      </c>
      <c r="J4" s="13">
        <v>3</v>
      </c>
      <c r="L4" s="28">
        <v>13</v>
      </c>
      <c r="M4" s="23" t="s">
        <v>60</v>
      </c>
      <c r="N4" s="1">
        <v>438</v>
      </c>
      <c r="O4" s="29">
        <f t="shared" si="0"/>
        <v>2162.9753999999998</v>
      </c>
      <c r="Q4" s="18" t="s">
        <v>38</v>
      </c>
      <c r="R4" s="1">
        <f>IF(AND(R3&lt;6,R3&gt;0),10,IF(R3&gt;=6,20,0))</f>
        <v>10</v>
      </c>
      <c r="S4" s="1"/>
      <c r="T4" s="1">
        <f>R4+T3</f>
        <v>12</v>
      </c>
      <c r="U4" s="1"/>
      <c r="V4" s="9"/>
    </row>
    <row r="5" spans="2:22" ht="30" x14ac:dyDescent="0.25">
      <c r="B5" s="18" t="s">
        <v>6</v>
      </c>
      <c r="C5" s="19" t="s">
        <v>7</v>
      </c>
      <c r="D5" s="5"/>
      <c r="E5" s="4"/>
      <c r="F5" s="50" t="s">
        <v>67</v>
      </c>
      <c r="G5" s="16">
        <v>10</v>
      </c>
      <c r="H5" s="5"/>
      <c r="I5" s="14"/>
      <c r="J5" s="9"/>
      <c r="L5" s="28">
        <v>21</v>
      </c>
      <c r="M5" s="23" t="s">
        <v>61</v>
      </c>
      <c r="N5" s="1">
        <v>209</v>
      </c>
      <c r="O5" s="29">
        <f t="shared" si="0"/>
        <v>1032.1047000000001</v>
      </c>
      <c r="Q5" s="18" t="s">
        <v>18</v>
      </c>
      <c r="R5" s="1">
        <f>IF(R4=10,N2,IF(R4=20,N5,0))</f>
        <v>292</v>
      </c>
      <c r="S5" s="1">
        <f>S3*N8</f>
        <v>5</v>
      </c>
      <c r="T5" s="1">
        <f>VLOOKUP(T4,L2:O7,3)</f>
        <v>365</v>
      </c>
      <c r="U5" s="1">
        <f>T5+S5</f>
        <v>370</v>
      </c>
      <c r="V5" s="9"/>
    </row>
    <row r="6" spans="2:22" ht="30" x14ac:dyDescent="0.25">
      <c r="B6" s="18" t="s">
        <v>8</v>
      </c>
      <c r="C6" s="19" t="s">
        <v>9</v>
      </c>
      <c r="D6" s="5"/>
      <c r="E6" s="4"/>
      <c r="F6" s="50" t="s">
        <v>68</v>
      </c>
      <c r="G6" s="16">
        <v>10</v>
      </c>
      <c r="H6" s="5"/>
      <c r="I6" s="14"/>
      <c r="J6" s="9"/>
      <c r="L6" s="28">
        <v>22</v>
      </c>
      <c r="M6" s="23" t="s">
        <v>62</v>
      </c>
      <c r="N6" s="1">
        <v>262</v>
      </c>
      <c r="O6" s="29">
        <f t="shared" si="0"/>
        <v>1293.8345999999999</v>
      </c>
      <c r="Q6" s="18" t="s">
        <v>45</v>
      </c>
      <c r="R6" s="8">
        <f>IF(R4=10,O2,IF(R4=20,O5,0))</f>
        <v>1441.9836</v>
      </c>
      <c r="S6" s="1">
        <f>S3*O8</f>
        <v>24.691499999999998</v>
      </c>
      <c r="T6" s="8">
        <f>VLOOKUP(T4,L2:O7,4)</f>
        <v>1802.4794999999999</v>
      </c>
      <c r="U6" s="8">
        <f>T6+S6</f>
        <v>1827.1709999999998</v>
      </c>
      <c r="V6" s="13" t="b">
        <f>IF(U6=U5*O9,TRUE,FALSE)</f>
        <v>1</v>
      </c>
    </row>
    <row r="7" spans="2:22" ht="30" x14ac:dyDescent="0.25">
      <c r="B7" s="18" t="s">
        <v>10</v>
      </c>
      <c r="C7" s="19" t="s">
        <v>11</v>
      </c>
      <c r="D7" s="5"/>
      <c r="E7" s="4"/>
      <c r="F7" s="50" t="s">
        <v>69</v>
      </c>
      <c r="G7" s="16">
        <v>20</v>
      </c>
      <c r="H7" s="5"/>
      <c r="I7" s="14"/>
      <c r="J7" s="9"/>
      <c r="L7" s="28">
        <v>23</v>
      </c>
      <c r="M7" s="23" t="s">
        <v>63</v>
      </c>
      <c r="N7" s="1">
        <v>314</v>
      </c>
      <c r="O7" s="29">
        <f t="shared" si="0"/>
        <v>1550.6261999999999</v>
      </c>
      <c r="Q7" s="14"/>
      <c r="R7" s="24"/>
      <c r="S7" s="24"/>
      <c r="T7" s="24"/>
      <c r="U7" s="24"/>
      <c r="V7" s="9"/>
    </row>
    <row r="8" spans="2:22" ht="30" x14ac:dyDescent="0.25">
      <c r="B8" s="18" t="s">
        <v>12</v>
      </c>
      <c r="C8" s="19" t="s">
        <v>13</v>
      </c>
      <c r="D8" s="5"/>
      <c r="E8" s="4"/>
      <c r="F8" s="50" t="s">
        <v>70</v>
      </c>
      <c r="G8" s="16">
        <v>20</v>
      </c>
      <c r="H8" s="5"/>
      <c r="I8" s="14"/>
      <c r="J8" s="9"/>
      <c r="L8" s="14"/>
      <c r="M8" s="23" t="s">
        <v>29</v>
      </c>
      <c r="N8" s="1">
        <v>5</v>
      </c>
      <c r="O8" s="29">
        <f t="shared" si="0"/>
        <v>24.691499999999998</v>
      </c>
      <c r="Q8" s="14"/>
      <c r="R8" s="24"/>
      <c r="S8" s="24"/>
      <c r="T8" s="24"/>
      <c r="U8" s="24"/>
      <c r="V8" s="9"/>
    </row>
    <row r="9" spans="2:22" ht="30" x14ac:dyDescent="0.25">
      <c r="B9" s="18" t="s">
        <v>14</v>
      </c>
      <c r="C9" s="19" t="s">
        <v>15</v>
      </c>
      <c r="D9" s="5"/>
      <c r="E9" s="4"/>
      <c r="F9" s="50" t="s">
        <v>71</v>
      </c>
      <c r="G9" s="16">
        <v>20</v>
      </c>
      <c r="H9" s="5"/>
      <c r="I9" s="14"/>
      <c r="J9" s="9"/>
      <c r="L9" s="14"/>
      <c r="M9" s="22" t="s">
        <v>32</v>
      </c>
      <c r="N9" s="1">
        <v>1</v>
      </c>
      <c r="O9" s="13">
        <v>4.9382999999999999</v>
      </c>
      <c r="Q9" s="14"/>
      <c r="R9" s="24"/>
      <c r="S9" s="24"/>
      <c r="T9" s="24"/>
      <c r="U9" s="24"/>
      <c r="V9" s="9"/>
    </row>
    <row r="10" spans="2:22" ht="60" x14ac:dyDescent="0.25">
      <c r="B10" s="20" t="s">
        <v>16</v>
      </c>
      <c r="C10" s="21" t="s">
        <v>17</v>
      </c>
      <c r="D10" s="5"/>
      <c r="E10" s="4"/>
      <c r="F10" s="51" t="s">
        <v>72</v>
      </c>
      <c r="G10" s="17">
        <v>20</v>
      </c>
      <c r="H10" s="5"/>
      <c r="I10" s="15"/>
      <c r="J10" s="10"/>
      <c r="L10" s="15"/>
      <c r="M10" s="25"/>
      <c r="N10" s="25"/>
      <c r="O10" s="10"/>
      <c r="Q10" s="15"/>
      <c r="R10" s="25"/>
      <c r="S10" s="25"/>
      <c r="T10" s="25"/>
      <c r="U10" s="25"/>
      <c r="V10" s="10"/>
    </row>
    <row r="12" spans="2:22" x14ac:dyDescent="0.25">
      <c r="G12" s="3"/>
      <c r="H12" s="3"/>
    </row>
  </sheetData>
  <mergeCells count="1">
    <mergeCell ref="Q1:V1"/>
  </mergeCells>
  <dataValidations disablePrompts="1" count="1">
    <dataValidation type="list" allowBlank="1" showInputMessage="1" showErrorMessage="1" sqref="B10" xr:uid="{7E3A5E59-9B56-4F22-89FC-4C22BB2E0B59}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Planilha2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Campos Canal</dc:creator>
  <cp:lastModifiedBy>Edilene Evangelista Andrade</cp:lastModifiedBy>
  <cp:lastPrinted>2025-02-18T17:14:49Z</cp:lastPrinted>
  <dcterms:created xsi:type="dcterms:W3CDTF">2021-04-14T14:10:01Z</dcterms:created>
  <dcterms:modified xsi:type="dcterms:W3CDTF">2026-04-29T17:59:11Z</dcterms:modified>
</cp:coreProperties>
</file>